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charts/chart7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5.xml" ContentType="application/vnd.openxmlformats-officedocument.drawing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worksheets/sheet17.xml" ContentType="application/vnd.openxmlformats-officedocument.spreadsheetml.worksheet+xml"/>
  <Override PartName="/xl/drawings/drawing6.xml" ContentType="application/vnd.openxmlformats-officedocument.drawing+xml"/>
  <Override PartName="/xl/drawings/charts/chart12.xml" ContentType="application/vnd.openxmlformats-officedocument.drawingml.chart+xml"/>
  <Override PartName="/xl/drawings/charts/chart13.xml" ContentType="application/vnd.openxmlformats-officedocument.drawingml.char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1fba2293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封面摘要" sheetId="1" r:id="R3210452496874f4e"/>
    <x:sheet xmlns:r="http://schemas.openxmlformats.org/officeDocument/2006/relationships" name="财务实际" sheetId="2" r:id="R4444440d818642b4"/>
    <x:sheet xmlns:r="http://schemas.openxmlformats.org/officeDocument/2006/relationships" name="利润还原" sheetId="3" r:id="R33cdb28ad9a64398"/>
    <x:sheet xmlns:r="http://schemas.openxmlformats.org/officeDocument/2006/relationships" name="行业趋势" sheetId="4" r:id="Rd8e04d17b2ac4b89"/>
    <x:sheet xmlns:r="http://schemas.openxmlformats.org/officeDocument/2006/relationships" name="机会输入" sheetId="5" r:id="Ra67a6e0e30184831"/>
    <x:sheet xmlns:r="http://schemas.openxmlformats.org/officeDocument/2006/relationships" name="机会模型" sheetId="6" r:id="Rc5e3a2b7d6cc4299"/>
    <x:sheet xmlns:r="http://schemas.openxmlformats.org/officeDocument/2006/relationships" name="合并预测" sheetId="7" r:id="R15c03234636545bf"/>
    <x:sheet xmlns:r="http://schemas.openxmlformats.org/officeDocument/2006/relationships" name="估值模型" sheetId="8" r:id="Re06f42c959774896"/>
    <x:sheet xmlns:r="http://schemas.openxmlformats.org/officeDocument/2006/relationships" name="校验" sheetId="9" r:id="R6182ece5f490461c"/>
    <x:sheet xmlns:r="http://schemas.openxmlformats.org/officeDocument/2006/relationships" name="公开资料" sheetId="10" r:id="R168b2e0056134ad1"/>
    <x:sheet xmlns:r="http://schemas.openxmlformats.org/officeDocument/2006/relationships" name="量价空间" sheetId="11" r:id="Rf400f176b39f4b26"/>
    <x:sheet xmlns:r="http://schemas.openxmlformats.org/officeDocument/2006/relationships" name="同业估值" sheetId="12" r:id="Rc46367c02bce49a7"/>
    <x:sheet xmlns:r="http://schemas.openxmlformats.org/officeDocument/2006/relationships" name="规格输入" sheetId="13" r:id="R03db410db17f451d"/>
    <x:sheet xmlns:r="http://schemas.openxmlformats.org/officeDocument/2006/relationships" name="规格明细" sheetId="14" r:id="Raad34567c3b541b8"/>
    <x:sheet xmlns:r="http://schemas.openxmlformats.org/officeDocument/2006/relationships" name="光引擎参考" sheetId="15" r:id="Rbb1d5a24273b4426"/>
    <x:sheet xmlns:r="http://schemas.openxmlformats.org/officeDocument/2006/relationships" name="研发与资产" sheetId="16" r:id="R941ce185dc634ae1"/>
    <x:sheet xmlns:r="http://schemas.openxmlformats.org/officeDocument/2006/relationships" name="公司业绩全览" sheetId="17" r:id="Ra50a4577dc2c4441"/>
  </x:sheets>
</x:workbook>
</file>

<file path=xl/comments1.xml><?xml version="1.0" encoding="utf-8"?>
<x:comments xmlns:x="http://schemas.openxmlformats.org/spreadsheetml/2006/main">
  <x:authors>
    <x:author>tc={719432BB-301D-4113-BD6F-9B4334B781C6}</x:author>
    <x:author>tc={1B53DE6D-AD47-4956-B308-ED69211407EC}</x:author>
    <x:author>tc={B2CA386D-9AB1-4AB3-9472-E4851F264797}</x:author>
    <x:author>tc={2E99EB27-BA0C-4264-9705-B89FA161E0FB}</x:author>
    <x:author>tc={4CE6533E-65BB-4A2E-8551-76F7958150FB}</x:author>
    <x:author>tc={B320C9AE-0942-4084-A8A3-7BD47157619E}</x:author>
    <x:author>tc={CB40B83E-7FD2-4BD8-A127-CA4AA124D5C3}</x:author>
    <x:author>tc={63B4053D-87D6-41AF-9ED8-44D5ABDBC5D2}</x:author>
    <x:author>tc={E47FA8F4-A9BD-41AD-8ECB-6077C04BF45F}</x:author>
    <x:author>tc={694253A0-2A31-4B03-8F03-891127314535}</x:author>
    <x:author>tc={15AF89EA-237F-4024-894E-D64E1AA4CCEB}</x:author>
    <x:author>tc={ED8A2A08-A8E5-4F33-A750-A75BC961D2CF}</x:author>
    <x:author>tc={60668480-2205-4763-8827-3D4EF059FE0B}</x:author>
    <x:author>tc={D3A2B0C5-0ABE-4B6E-A016-65FD695D651E}</x:author>
    <x:author>tc={65247AE9-2C02-4462-AFB5-C25DAF9CDA71}</x:author>
    <x:author>tc={B81C9A42-A867-4D7B-ACFD-1BEC6B53E1BB}</x:author>
    <x:author>tc={73E22C5B-A4BF-4C7D-99F3-A627DC87E7B6}</x:author>
    <x:author>tc={83361F9A-C313-473C-B80B-5093EFF8BD3F}</x:author>
    <x:author>tc={A848057A-4975-447C-9AD9-CEE10ED24A2B}</x:author>
    <x:author>tc={FD46A1B4-AFE4-489F-91B0-1990A2F72B77}</x:author>
    <x:author>tc={D8820711-2672-4DF9-8E81-C5A0BD77163B}</x:author>
    <x:author>tc={D4F3E623-5426-4FCA-9652-E958A0295289}</x:author>
    <x:author>tc={7C2401F1-EF9F-4933-8998-4132BBA9F77E}</x:author>
  </x:authors>
  <x:commentList>
    <x:comment ref="C43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44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45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华鑫AI研究整理：审慎情形收入兑现率为研究假设，反映订单、交付、验收与产能良率爬坡。2026—2030年：70.0% / 80.0% / 80.0% / 80.0% / 80.0%。公司份额已在理论收入中计入，不在此处重复扣减。</x:t>
        </x:r>
      </x:text>
    </x:comment>
    <x:comment ref="C4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4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4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4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华鑫AI研究整理：审慎情形收入兑现率为研究假设，反映订单、交付、验收与产能良率爬坡。2026—2030年：0.0% / 50.0% / 70.0% / 70.0% / 70.0%。公司份额已在理论收入中计入，不在此处重复扣减。</x:t>
        </x:r>
      </x:text>
    </x:comment>
    <x:comment ref="C50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5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52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华鑫AI研究整理：基准情形收入兑现率为研究假设，反映订单、交付、验收与产能良率爬坡。2026—2030年：70.0% / 80.0% / 80.0% / 80.0% / 80.0%。公司份额已在理论收入中计入，不在此处重复扣减。</x:t>
        </x:r>
      </x:text>
    </x:comment>
    <x:comment ref="C53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5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55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56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华鑫AI研究整理：基准情形收入兑现率为研究假设，反映订单、交付、验收与产能良率爬坡。2026—2030年：0.0% / 50.0% / 70.0% / 70.0% / 70.0%。公司份额已在理论收入中计入，不在此处重复扣减。</x:t>
        </x:r>
      </x:text>
    </x:comment>
    <x:comment ref="C57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58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华鑫AI研究整理：乐观情形收入兑现率为研究假设，反映订单、交付、验收与产能良率爬坡。2026—2030年：80.0% / 90.0% / 90.0% / 90.0% / 90.0%。公司份额已在理论收入中计入，不在此处重复扣减。</x:t>
        </x:r>
      </x:text>
    </x:comment>
    <x:comment ref="C59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华鑫AI研究整理：乐观情形收入兑现率为研究假设，反映订单、交付、验收与产能良率爬坡。2026—2030年：70.0% / 80.0% / 80.0% / 80.0% / 80.0%。公司份额已在理论收入中计入，不在此处重复扣减。</x:t>
        </x:r>
      </x:text>
    </x:comment>
    <x:comment ref="C60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61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62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华鑫AI研究整理：乐观情形收入兑现率为研究假设，反映订单、交付、验收与产能良率爬坡。2026—2030年：50.0% / 70.0% / 80.0% / 80.0% / 80.0%。公司份额已在理论收入中计入，不在此处重复扣减。</x:t>
        </x:r>
      </x:text>
    </x:comment>
    <x:comment ref="C63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华鑫AI研究整理：乐观情形收入兑现率为研究假设，反映订单、交付、验收与产能良率爬坡。2026—2030年：0.0% / 50.0% / 70.0% / 70.0% / 70.0%。公司份额已在理论收入中计入，不在此处重复扣减。</x:t>
        </x:r>
      </x:text>
    </x:comment>
    <x:comment ref="E69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预测，2026-09-04。随收入放量，销售、管理及研发费用率逐年摊薄，绝对费用仍增长；研发继续支持多工艺平台和高通道产品。该假设不等同公司指引。C69:G71均可编辑，自动联动三情景归母净利润与估值。</x:t>
        </x:r>
      </x:text>
    </x:comment>
    <x:comment ref="D80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华鑫AI研究预测：XR光学与感知项目爬坡、无创血糖光谱测量模组潜在工程导入带动增长；为研究预测，非已确认订单或终端医疗认证。 2027、2028年的增速为研究假设，不是公司业绩承诺。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1">
    <x:numFmt numFmtId="200" formatCode="0.0000"/>
    <x:numFmt numFmtId="201" formatCode="0.00%"/>
    <x:numFmt numFmtId="202" formatCode="0.0%"/>
    <x:numFmt numFmtId="203" formatCode="0.000000;[Red](0.000000);-"/>
    <x:numFmt numFmtId="204" formatCode="0.00"/>
    <x:numFmt numFmtId="205" formatCode="0.000"/>
    <x:numFmt numFmtId="206" formatCode="0.0x"/>
    <x:numFmt numFmtId="207" formatCode="0"/>
    <x:numFmt numFmtId="208" formatCode="0.0"/>
    <x:numFmt numFmtId="209" formatCode="#,##0"/>
    <x:numFmt numFmtId="210" formatCode="0.00000000"/>
    <x:numFmt numFmtId="211" formatCode="0.0&quot;x&quot;"/>
    <x:numFmt numFmtId="212" formatCode="0%"/>
    <x:numFmt numFmtId="213" formatCode="#,##0.000000"/>
    <x:numFmt numFmtId="214" formatCode="#,##0.0000"/>
    <x:numFmt numFmtId="215" formatCode="#,##0.###"/>
    <x:numFmt numFmtId="216" formatCode="000000"/>
    <x:numFmt numFmtId="217" formatCode="#,##0.0000;[Red](#,##0.0000);&quot;—&quot;"/>
    <x:numFmt numFmtId="218" formatCode="0.0%;[Red](0.0%);&quot;—&quot;"/>
    <x:numFmt numFmtId="219" formatCode="#,##0;[Red](#,##0);&quot;—&quot;"/>
    <x:numFmt numFmtId="220" formatCode="0.000000"/>
  </x:numFmts>
  <x:fonts count="30">
    <x:font>
      <x:sz val="11"/>
      <x:name val="Carlito"/>
    </x:font>
    <x:font>
      <x:b/>
      <x:sz val="11"/>
      <x:color rgb="FFFFFFFF"/>
      <x:name val="Carlito"/>
    </x:font>
    <x:font>
      <x:sz val="11"/>
      <x:color rgb="FFFFFFFF"/>
      <x:name val="Carlito"/>
    </x:font>
    <x:font>
      <x:b/>
      <x:sz val="11"/>
      <x:color rgb="FFA96818"/>
      <x:name val="Carlito"/>
    </x:font>
    <x:font>
      <x:b/>
      <x:sz val="11"/>
      <x:color rgb="FF0758CA"/>
      <x:name val="Carlito"/>
    </x:font>
    <x:font>
      <x:b/>
      <x:sz val="11"/>
      <x:color rgb="FF1D4F83"/>
      <x:name val="Carlito"/>
    </x:font>
    <x:font>
      <x:b/>
      <x:sz val="11"/>
      <x:color rgb="FFB34646"/>
      <x:name val="Carlito"/>
    </x:font>
    <x:font>
      <x:sz val="11"/>
      <x:color rgb="FF1D4F83"/>
      <x:name val="Carlito"/>
    </x:font>
    <x:font>
      <x:sz val="11"/>
      <x:color rgb="FFA96818"/>
      <x:name val="Carlito"/>
    </x:font>
    <x:font>
      <x:sz val="11"/>
      <x:color rgb="FF0969F5"/>
      <x:name val="Carlito"/>
    </x:font>
    <x:font>
      <x:sz val="11"/>
      <x:color rgb="FF167C5A"/>
      <x:name val="Carlito"/>
    </x:font>
    <x:font>
      <x:sz val="11"/>
      <x:color rgb="FF10233F"/>
      <x:name val="Carlito"/>
    </x:font>
    <x:font>
      <x:sz val="11"/>
      <x:color rgb="FF000000"/>
      <x:name val="Carlito"/>
    </x:font>
    <x:font>
      <x:sz val="11"/>
      <x:color rgb="FF0758CA"/>
      <x:name val="Carlito"/>
    </x:font>
    <x:font>
      <x:b/>
      <x:sz val="11"/>
      <x:color rgb="FF000000"/>
      <x:name val="Carlito"/>
    </x:font>
    <x:font>
      <x:b/>
      <x:sz val="11"/>
      <x:color rgb="FFFFFFFF"/>
      <x:name val="PingFang SC"/>
    </x:font>
    <x:font>
      <x:sz val="11"/>
      <x:name val="PingFang SC"/>
    </x:font>
    <x:font>
      <x:sz val="11"/>
      <x:color rgb="FFFFFFFF"/>
      <x:name val="PingFang SC"/>
    </x:font>
    <x:font>
      <x:b/>
      <x:sz val="11"/>
      <x:color rgb="FFA96818"/>
      <x:name val="PingFang SC"/>
    </x:font>
    <x:font>
      <x:b/>
      <x:sz val="11"/>
      <x:color rgb="FF0758CA"/>
      <x:name val="PingFang SC"/>
    </x:font>
    <x:font>
      <x:b/>
      <x:sz val="11"/>
      <x:color rgb="FFB34646"/>
      <x:name val="PingFang SC"/>
    </x:font>
    <x:font>
      <x:sz val="11"/>
      <x:color rgb="FF1D4F83"/>
      <x:name val="PingFang SC"/>
    </x:font>
    <x:font>
      <x:sz val="11"/>
      <x:color rgb="FFA96818"/>
      <x:name val="PingFang SC"/>
    </x:font>
    <x:font>
      <x:sz val="11"/>
      <x:color rgb="FF0969F5"/>
      <x:name val="PingFang SC"/>
    </x:font>
    <x:font>
      <x:sz val="11"/>
      <x:color rgb="FF167C5A"/>
      <x:name val="PingFang SC"/>
    </x:font>
    <x:font>
      <x:sz val="11"/>
      <x:color rgb="FF10233F"/>
      <x:name val="PingFang SC"/>
    </x:font>
    <x:font>
      <x:sz val="11"/>
      <x:color rgb="FF000000"/>
      <x:name val="PingFang SC"/>
    </x:font>
    <x:font>
      <x:sz val="11"/>
      <x:color rgb="FF0758CA"/>
      <x:name val="PingFang SC"/>
    </x:font>
    <x:font>
      <x:b/>
      <x:sz val="11"/>
      <x:color rgb="FF1D4F83"/>
      <x:name val="PingFang SC"/>
    </x:font>
    <x:font>
      <x:b/>
      <x:sz val="11"/>
      <x:color rgb="FF000000"/>
      <x:name val="PingFang SC"/>
    </x:font>
  </x:fonts>
  <x:fills count="11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0758CA"/>
      </x:patternFill>
    </x:fill>
    <x:fill>
      <x:patternFill patternType="solid">
        <x:fgColor rgb="FFFFF8ED"/>
      </x:patternFill>
    </x:fill>
    <x:fill>
      <x:patternFill patternType="solid">
        <x:fgColor rgb="FF1D4F83"/>
      </x:patternFill>
    </x:fill>
    <x:fill>
      <x:patternFill patternType="solid">
        <x:fgColor rgb="FFEEF5FF"/>
      </x:patternFill>
    </x:fill>
    <x:fill>
      <x:patternFill patternType="solid">
        <x:fgColor rgb="FFF5F8FC"/>
      </x:patternFill>
    </x:fill>
    <x:fill>
      <x:patternFill patternType="solid">
        <x:fgColor rgb="FFFFF3F2"/>
      </x:patternFill>
    </x:fill>
    <x:fill>
      <x:patternFill patternType="solid">
        <x:fgColor rgb="FFFFFFFF"/>
      </x:patternFill>
    </x:fill>
    <x:fill>
      <x:patternFill patternType="solid">
        <x:fgColor rgb="FFA96818"/>
      </x:patternFill>
    </x:fill>
  </x:fills>
  <x:borders count="4">
    <x:border/>
    <x:border>
      <x:left style="thin">
        <x:color rgb="FFDCE5EF"/>
      </x:left>
      <x:right style="thin">
        <x:color rgb="FFDCE5EF"/>
      </x:right>
      <x:top style="thin">
        <x:color rgb="FFDCE5EF"/>
      </x:top>
      <x:bottom style="thin">
        <x:color rgb="FFDCE5EF"/>
      </x:bottom>
    </x:border>
    <x:border>
      <x:left style="thin">
        <x:color rgb="FFDCE5EF"/>
      </x:left>
      <x:right style="thin">
        <x:color rgb="FFDCE5EF"/>
      </x:right>
      <x:top style="thin">
        <x:color rgb="FF1D4F83"/>
      </x:top>
      <x:bottom style="thin">
        <x:color rgb="FFDCE5EF"/>
      </x:bottom>
    </x:border>
    <x:border>
      <x:top style="thin">
        <x:color rgb="FF1D4F83"/>
      </x:top>
    </x:border>
  </x:borders>
  <x:cellStyleXfs count="1">
    <x:xf numFmtId="0" fontId="0" fillId="0" borderId="0"/>
  </x:cellStyleXfs>
  <x:cellXfs count="2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202" fontId="0" fillId="0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vertical="center" wrapText="1"/>
    </x:xf>
    <x:xf numFmtId="203" fontId="0" fillId="6" borderId="1" xfId="0" applyNumberFormat="1" applyFont="1" applyFill="1" applyBorder="1" applyAlignment="1">
      <x:alignment vertical="center" wrapText="1"/>
    </x:xf>
    <x:xf numFmtId="203" fontId="4" fillId="6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4" fontId="0" fillId="0" borderId="1" xfId="0" applyNumberFormat="1" applyFont="1" applyFill="1" applyBorder="1" applyAlignment="1">
      <x:alignment vertical="center" wrapText="1"/>
    </x:xf>
    <x:xf numFmtId="205" fontId="0" fillId="0" borderId="1" xfId="0" applyNumberFormat="1" applyFont="1" applyFill="1" applyBorder="1" applyAlignment="1">
      <x:alignment vertical="center" wrapText="1"/>
    </x:xf>
    <x:xf numFmtId="204" fontId="0" fillId="6" borderId="1" xfId="0" applyNumberFormat="1" applyFont="1" applyFill="1" applyBorder="1" applyAlignment="1">
      <x:alignment vertical="center" wrapText="1"/>
    </x:xf>
    <x:xf numFmtId="204" fontId="9" fillId="6" borderId="1" xfId="0" applyNumberFormat="1" applyFont="1" applyFill="1" applyBorder="1" applyAlignment="1">
      <x:alignment vertical="center" wrapText="1"/>
    </x:xf>
    <x:xf numFmtId="205" fontId="0" fillId="6" borderId="1" xfId="0" applyNumberFormat="1" applyFont="1" applyFill="1" applyBorder="1" applyAlignment="1">
      <x:alignment vertical="center" wrapText="1"/>
    </x:xf>
    <x:xf numFmtId="205" fontId="9" fillId="6" borderId="1" xfId="0" applyNumberFormat="1" applyFont="1" applyFill="1" applyBorder="1" applyAlignment="1">
      <x:alignment vertical="center" wrapText="1"/>
    </x:xf>
    <x:xf numFmtId="206" fontId="0" fillId="0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200" fontId="9" fillId="6" borderId="1" xfId="0" applyNumberFormat="1" applyFont="1" applyFill="1" applyBorder="1" applyAlignment="1">
      <x:alignment vertical="center" wrapText="1"/>
    </x:xf>
    <x:xf numFmtId="202" fontId="9" fillId="6" borderId="1" xfId="0" applyNumberFormat="1" applyFont="1" applyFill="1" applyBorder="1" applyAlignment="1">
      <x:alignment vertical="center" wrapText="1"/>
    </x:xf>
    <x:xf numFmtId="200" fontId="0" fillId="6" borderId="1" xfId="0" applyNumberFormat="1" applyFont="1" applyFill="1" applyBorder="1" applyAlignment="1">
      <x:alignment vertical="center" wrapText="1"/>
    </x:xf>
    <x:xf numFmtId="207" fontId="0" fillId="0" borderId="1" xfId="0" applyNumberFormat="1" applyFont="1" applyFill="1" applyBorder="1" applyAlignment="1">
      <x:alignment vertical="center" wrapText="1"/>
    </x:xf>
    <x:xf numFmtId="202" fontId="0" fillId="6" borderId="1" xfId="0" applyNumberFormat="1" applyFont="1" applyFill="1" applyBorder="1" applyAlignment="1">
      <x:alignment vertical="center" wrapText="1"/>
    </x:xf>
    <x:xf numFmtId="207" fontId="0" fillId="6" borderId="1" xfId="0" applyNumberFormat="1" applyFont="1" applyFill="1" applyBorder="1" applyAlignment="1">
      <x:alignment vertical="center" wrapText="1"/>
    </x:xf>
    <x:xf numFmtId="207" fontId="9" fillId="6" borderId="1" xfId="0" applyNumberFormat="1" applyFont="1" applyFill="1" applyBorder="1" applyAlignment="1">
      <x:alignment vertical="center" wrapText="1"/>
    </x:xf>
    <x:xf numFmtId="200" fontId="9" fillId="9" borderId="1" xfId="0" applyNumberFormat="1" applyFont="1" applyFill="1" applyBorder="1" applyAlignment="1">
      <x:alignment vertical="center" wrapText="1"/>
    </x:xf>
    <x:xf numFmtId="200" fontId="10" fillId="9" borderId="1" xfId="0" applyNumberFormat="1" applyFont="1" applyFill="1" applyBorder="1" applyAlignment="1">
      <x:alignment vertical="center" wrapText="1"/>
    </x:xf>
    <x:xf numFmtId="200" fontId="9" fillId="7" borderId="1" xfId="0" applyNumberFormat="1" applyFont="1" applyFill="1" applyBorder="1" applyAlignment="1">
      <x:alignment vertical="center" wrapText="1"/>
    </x:xf>
    <x:xf numFmtId="200" fontId="11" fillId="7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4" fillId="6" borderId="1" xfId="0" applyNumberFormat="1" applyFont="1" applyFill="1" applyBorder="1" applyAlignment="1">
      <x:alignment vertical="center" wrapText="1"/>
    </x:xf>
    <x:xf numFmtId="208" fontId="0" fillId="0" borderId="1" xfId="0" applyNumberFormat="1" applyFont="1" applyFill="1" applyBorder="1" applyAlignment="1">
      <x:alignment vertical="center" wrapText="1"/>
    </x:xf>
    <x:xf numFmtId="209" fontId="0" fillId="0" borderId="1" xfId="0" applyNumberFormat="1" applyFont="1" applyFill="1" applyBorder="1" applyAlignment="1">
      <x:alignment vertical="center" wrapText="1"/>
    </x:xf>
    <x:xf numFmtId="202" fontId="4" fillId="6" borderId="1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210" fontId="0" fillId="6" borderId="1" xfId="0" applyNumberFormat="1" applyFont="1" applyFill="1" applyBorder="1" applyAlignment="1">
      <x:alignment vertical="center" wrapText="1"/>
    </x:xf>
    <x:xf numFmtId="211" fontId="0" fillId="6" borderId="1" xfId="0" applyNumberFormat="1" applyFont="1" applyFill="1" applyBorder="1" applyAlignment="1">
      <x:alignment vertical="center" wrapText="1"/>
    </x:xf>
    <x:xf numFmtId="212" fontId="0" fillId="0" borderId="0" xfId="0" applyNumberFormat="1" applyFont="1" applyFill="1" applyBorder="1"/>
    <x:xf numFmtId="212" fontId="0" fillId="0" borderId="1" xfId="0" applyNumberFormat="1" applyFont="1" applyFill="1" applyBorder="1"/>
    <x:xf numFmtId="212" fontId="0" fillId="0" borderId="1" xfId="0" applyNumberFormat="1" applyFont="1" applyFill="1" applyBorder="1" applyAlignment="1">
      <x:alignment wrapText="1"/>
    </x:xf>
    <x:xf numFmtId="212" fontId="0" fillId="0" borderId="1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wrapText="1"/>
    </x:xf>
    <x:xf numFmtId="213" fontId="0" fillId="0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vertical="center" wrapText="1"/>
    </x:xf>
    <x:xf numFmtId="204" fontId="0" fillId="9" borderId="1" xfId="0" applyNumberFormat="1" applyFont="1" applyFill="1" applyBorder="1" applyAlignment="1">
      <x:alignment vertical="center" wrapText="1"/>
    </x:xf>
    <x:xf numFmtId="205" fontId="0" fillId="9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horizontal="center" vertical="center" wrapText="1"/>
    </x:xf>
    <x:xf numFmtId="204" fontId="0" fillId="6" borderId="1" xfId="0" applyNumberFormat="1" applyFont="1" applyFill="1" applyBorder="1" applyAlignment="1">
      <x:alignment horizontal="center" vertical="center" wrapText="1"/>
    </x:xf>
    <x:xf numFmtId="205" fontId="0" fillId="6" borderId="1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 applyAlignment="1">
      <x:alignment horizontal="center" vertical="center" wrapText="1"/>
    </x:xf>
    <x:xf numFmtId="204" fontId="0" fillId="9" borderId="1" xfId="0" applyNumberFormat="1" applyFont="1" applyFill="1" applyBorder="1" applyAlignment="1">
      <x:alignment horizontal="center" vertical="center" wrapText="1"/>
    </x:xf>
    <x:xf numFmtId="205" fontId="0" fillId="9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 applyAlignment="1">
      <x:alignment wrapText="1"/>
    </x:xf>
    <x:xf numFmtId="209" fontId="0" fillId="9" borderId="1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202" fontId="11" fillId="7" borderId="1" xfId="0" applyNumberFormat="1" applyFont="1" applyFill="1" applyBorder="1" applyAlignment="1">
      <x:alignment vertical="center" wrapText="1"/>
    </x:xf>
    <x:xf numFmtId="202" fontId="9" fillId="7" borderId="1" xfId="0" applyNumberFormat="1" applyFont="1" applyFill="1" applyBorder="1" applyAlignment="1">
      <x:alignment vertical="center" wrapText="1"/>
    </x:xf>
    <x:xf numFmtId="214" fontId="0" fillId="9" borderId="1" xfId="0" applyNumberFormat="1" applyFont="1" applyFill="1" applyBorder="1" applyAlignment="1">
      <x:alignment vertical="center" wrapText="1"/>
    </x:xf>
    <x:xf numFmtId="215" fontId="0" fillId="9" borderId="1" xfId="0" applyNumberFormat="1" applyFont="1" applyFill="1" applyBorder="1" applyAlignment="1">
      <x:alignment vertical="center" wrapText="1"/>
    </x:xf>
    <x:xf numFmtId="202" fontId="0" fillId="9" borderId="1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200" fontId="0" fillId="9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center" wrapText="1"/>
    </x:xf>
    <x:xf numFmtId="0" fontId="11" fillId="9" borderId="0" xfId="0" applyNumberFormat="1" applyFont="1" applyFill="1" applyBorder="1"/>
    <x:xf numFmtId="0" fontId="12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9" borderId="1" xfId="0" applyNumberFormat="1" applyFont="1" applyFill="1" applyBorder="1"/>
    <x:xf numFmtId="0" fontId="11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wrapText="1"/>
    </x:xf>
    <x:xf numFmtId="0" fontId="11" fillId="9" borderId="1" xfId="0" applyNumberFormat="1" applyFont="1" applyFill="1" applyBorder="1" applyAlignment="1">
      <x:alignment vertical="center" wrapText="1"/>
    </x:xf>
    <x:xf numFmtId="0" fontId="12" fillId="9" borderId="1" xfId="0" applyNumberFormat="1" applyFont="1" applyFill="1" applyBorder="1" applyAlignment="1">
      <x:alignment vertical="center" wrapText="1"/>
    </x:xf>
    <x:xf numFmtId="216" fontId="0" fillId="9" borderId="1" xfId="0" applyNumberFormat="1" applyFont="1" applyFill="1" applyBorder="1" applyAlignment="1">
      <x:alignment vertical="center" wrapText="1"/>
    </x:xf>
    <x:xf numFmtId="217" fontId="11" fillId="9" borderId="1" xfId="0" applyNumberFormat="1" applyFont="1" applyFill="1" applyBorder="1" applyAlignment="1">
      <x:alignment vertical="center" wrapText="1"/>
    </x:xf>
    <x:xf numFmtId="218" fontId="12" fillId="9" borderId="1" xfId="0" applyNumberFormat="1" applyFont="1" applyFill="1" applyBorder="1" applyAlignment="1">
      <x:alignment vertical="center" wrapText="1"/>
    </x:xf>
    <x:xf numFmtId="217" fontId="12" fillId="9" borderId="1" xfId="0" applyNumberFormat="1" applyFont="1" applyFill="1" applyBorder="1" applyAlignment="1">
      <x:alignment vertical="center" wrapText="1"/>
    </x:xf>
    <x:xf numFmtId="217" fontId="0" fillId="9" borderId="1" xfId="0" applyNumberFormat="1" applyFont="1" applyFill="1" applyBorder="1" applyAlignment="1">
      <x:alignment vertical="center" wrapText="1"/>
    </x:xf>
    <x:xf numFmtId="217" fontId="11" fillId="9" borderId="0" xfId="0" applyNumberFormat="1" applyFont="1" applyFill="1" applyBorder="1"/>
    <x:xf numFmtId="219" fontId="11" fillId="9" borderId="0" xfId="0" applyNumberFormat="1" applyFont="1" applyFill="1" applyBorder="1"/>
    <x:xf numFmtId="217" fontId="11" fillId="9" borderId="1" xfId="0" applyNumberFormat="1" applyFont="1" applyFill="1" applyBorder="1"/>
    <x:xf numFmtId="219" fontId="11" fillId="9" borderId="1" xfId="0" applyNumberFormat="1" applyFont="1" applyFill="1" applyBorder="1"/>
    <x:xf numFmtId="217" fontId="11" fillId="9" borderId="1" xfId="0" applyNumberFormat="1" applyFont="1" applyFill="1" applyBorder="1" applyAlignment="1">
      <x:alignment wrapText="1"/>
    </x:xf>
    <x:xf numFmtId="219" fontId="11" fillId="9" borderId="1" xfId="0" applyNumberFormat="1" applyFont="1" applyFill="1" applyBorder="1" applyAlignment="1">
      <x:alignment wrapText="1"/>
    </x:xf>
    <x:xf numFmtId="219" fontId="11" fillId="9" borderId="1" xfId="0" applyNumberFormat="1" applyFont="1" applyFill="1" applyBorder="1" applyAlignment="1">
      <x:alignment vertical="center" wrapText="1"/>
    </x:xf>
    <x:xf numFmtId="0" fontId="13" fillId="9" borderId="1" xfId="0" applyNumberFormat="1" applyFont="1" applyFill="1" applyBorder="1" applyAlignment="1">
      <x:alignment vertical="center" wrapText="1"/>
    </x:xf>
    <x:xf numFmtId="218" fontId="0" fillId="9" borderId="1" xfId="0" applyNumberFormat="1" applyFont="1" applyFill="1" applyBorder="1" applyAlignment="1">
      <x:alignment vertical="center" wrapText="1"/>
    </x:xf>
    <x:xf numFmtId="217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17" fontId="5" fillId="6" borderId="1" xfId="0" applyNumberFormat="1" applyFont="1" applyFill="1" applyBorder="1" applyAlignment="1">
      <x:alignment vertical="center" wrapText="1"/>
    </x:xf>
    <x:xf numFmtId="0" fontId="5" fillId="6" borderId="2" xfId="0" applyNumberFormat="1" applyFont="1" applyFill="1" applyBorder="1" applyAlignment="1">
      <x:alignment vertical="center" wrapText="1"/>
    </x:xf>
    <x:xf numFmtId="217" fontId="5" fillId="6" borderId="2" xfId="0" applyNumberFormat="1" applyFont="1" applyFill="1" applyBorder="1" applyAlignment="1">
      <x:alignment vertical="center" wrapText="1"/>
    </x:xf>
    <x:xf numFmtId="217" fontId="14" fillId="6" borderId="2" xfId="0" applyNumberFormat="1" applyFont="1" applyFill="1" applyBorder="1" applyAlignment="1">
      <x:alignment vertical="center" wrapText="1"/>
    </x:xf>
    <x:xf numFmtId="218" fontId="13" fillId="9" borderId="1" xfId="0" applyNumberFormat="1" applyFont="1" applyFill="1" applyBorder="1" applyAlignment="1">
      <x:alignment vertical="center" wrapText="1"/>
    </x:xf>
    <x:xf numFmtId="217" fontId="4" fillId="6" borderId="2" xfId="0" applyNumberFormat="1" applyFont="1" applyFill="1" applyBorder="1" applyAlignment="1">
      <x:alignment vertical="center" wrapText="1"/>
    </x:xf>
    <x:xf numFmtId="217" fontId="13" fillId="9" borderId="1" xfId="0" applyNumberFormat="1" applyFont="1" applyFill="1" applyBorder="1" applyAlignment="1">
      <x:alignment vertical="center" wrapText="1"/>
    </x:xf>
    <x:xf numFmtId="0" fontId="12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3" xfId="0" applyNumberFormat="1" applyFont="1" applyFill="1" applyBorder="1"/>
    <x:xf numFmtId="217" fontId="5" fillId="6" borderId="3" xfId="0" applyNumberFormat="1" applyFont="1" applyFill="1" applyBorder="1"/>
    <x:xf numFmtId="0" fontId="0" fillId="9" borderId="0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 applyAlignment="1">
      <x:alignment vertical="center"/>
    </x:xf>
    <x:xf numFmtId="217" fontId="5" fillId="6" borderId="3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7" borderId="1" xfId="0" applyNumberFormat="1" applyFont="1" applyFill="1" applyBorder="1" applyAlignment="1">
      <x:alignment vertical="center" wrapText="1"/>
    </x:xf>
    <x:xf numFmtId="217" fontId="14" fillId="7" borderId="2" xfId="0" applyNumberFormat="1" applyFont="1" applyFill="1" applyBorder="1" applyAlignment="1">
      <x:alignment vertical="center" wrapText="1"/>
    </x:xf>
    <x:xf numFmtId="217" fontId="12" fillId="7" borderId="1" xfId="0" applyNumberFormat="1" applyFont="1" applyFill="1" applyBorder="1" applyAlignment="1">
      <x:alignment vertical="center" wrapText="1"/>
    </x:xf>
    <x:xf numFmtId="218" fontId="12" fillId="7" borderId="1" xfId="0" applyNumberFormat="1" applyFont="1" applyFill="1" applyBorder="1" applyAlignment="1">
      <x:alignment vertical="center" wrapText="1"/>
    </x:xf>
    <x:xf numFmtId="218" fontId="13" fillId="7" borderId="1" xfId="0" applyNumberFormat="1" applyFont="1" applyFill="1" applyBorder="1" applyAlignment="1">
      <x:alignment vertical="center" wrapText="1"/>
    </x:xf>
    <x:xf numFmtId="217" fontId="5" fillId="7" borderId="3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 applyAlignment="1">
      <x:alignment vertical="center"/>
    </x:xf>
    <x:xf numFmtId="218" fontId="0" fillId="7" borderId="1" xfId="0" applyNumberFormat="1" applyFont="1" applyFill="1" applyBorder="1" applyAlignment="1">
      <x:alignment vertical="center" wrapText="1"/>
    </x:xf>
    <x:xf numFmtId="217" fontId="0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217" fontId="14" fillId="7" borderId="2" xfId="0" applyNumberFormat="1" applyFont="1" applyFill="1" applyBorder="1" applyAlignment="1">
      <x:alignment horizontal="right" vertical="center" wrapText="1"/>
    </x:xf>
    <x:xf numFmtId="217" fontId="4" fillId="6" borderId="2" xfId="0" applyNumberFormat="1" applyFont="1" applyFill="1" applyBorder="1" applyAlignment="1">
      <x:alignment horizontal="right" vertical="center" wrapText="1"/>
    </x:xf>
    <x:xf numFmtId="217" fontId="12" fillId="7" borderId="1" xfId="0" applyNumberFormat="1" applyFont="1" applyFill="1" applyBorder="1" applyAlignment="1">
      <x:alignment horizontal="right" vertical="center" wrapText="1"/>
    </x:xf>
    <x:xf numFmtId="217" fontId="12" fillId="9" borderId="1" xfId="0" applyNumberFormat="1" applyFont="1" applyFill="1" applyBorder="1" applyAlignment="1">
      <x:alignment horizontal="right" vertical="center" wrapText="1"/>
    </x:xf>
    <x:xf numFmtId="218" fontId="12" fillId="7" borderId="1" xfId="0" applyNumberFormat="1" applyFont="1" applyFill="1" applyBorder="1" applyAlignment="1">
      <x:alignment horizontal="right" vertical="center" wrapText="1"/>
    </x:xf>
    <x:xf numFmtId="218" fontId="12" fillId="9" borderId="1" xfId="0" applyNumberFormat="1" applyFont="1" applyFill="1" applyBorder="1" applyAlignment="1">
      <x:alignment horizontal="right" vertical="center" wrapText="1"/>
    </x:xf>
    <x:xf numFmtId="217" fontId="13" fillId="9" borderId="1" xfId="0" applyNumberFormat="1" applyFont="1" applyFill="1" applyBorder="1" applyAlignment="1">
      <x:alignment horizontal="right" vertical="center" wrapText="1"/>
    </x:xf>
    <x:xf numFmtId="218" fontId="13" fillId="7" borderId="1" xfId="0" applyNumberFormat="1" applyFont="1" applyFill="1" applyBorder="1" applyAlignment="1">
      <x:alignment horizontal="right" vertical="center" wrapText="1"/>
    </x:xf>
    <x:xf numFmtId="217" fontId="5" fillId="7" borderId="3" xfId="0" applyNumberFormat="1" applyFont="1" applyFill="1" applyBorder="1" applyAlignment="1">
      <x:alignment horizontal="right" vertical="center"/>
    </x:xf>
    <x:xf numFmtId="217" fontId="5" fillId="6" borderId="3" xfId="0" applyNumberFormat="1" applyFont="1" applyFill="1" applyBorder="1" applyAlignment="1">
      <x:alignment horizontal="right" vertical="center"/>
    </x:xf>
    <x:xf numFmtId="218" fontId="0" fillId="7" borderId="1" xfId="0" applyNumberFormat="1" applyFont="1" applyFill="1" applyBorder="1" applyAlignment="1">
      <x:alignment horizontal="right" vertical="center" wrapText="1"/>
    </x:xf>
    <x:xf numFmtId="218" fontId="13" fillId="9" borderId="1" xfId="0" applyNumberFormat="1" applyFont="1" applyFill="1" applyBorder="1" applyAlignment="1">
      <x:alignment horizontal="right" vertical="center" wrapText="1"/>
    </x:xf>
    <x:xf numFmtId="217" fontId="0" fillId="7" borderId="1" xfId="0" applyNumberFormat="1" applyFont="1" applyFill="1" applyBorder="1" applyAlignment="1">
      <x:alignment horizontal="right" vertical="center" wrapText="1"/>
    </x:xf>
    <x:xf numFmtId="217" fontId="11" fillId="9" borderId="1" xfId="0" applyNumberFormat="1" applyFont="1" applyFill="1" applyBorder="1" applyAlignment="1">
      <x:alignment horizontal="right" vertical="center" wrapText="1"/>
    </x:xf>
    <x:xf numFmtId="219" fontId="11" fillId="9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20" fontId="0" fillId="0" borderId="1" xfId="0" applyNumberFormat="1" applyFont="1" applyFill="1" applyBorder="1" applyAlignment="1">
      <x:alignment vertical="center" wrapText="1"/>
    </x:xf>
    <x:xf numFmtId="0" fontId="2" fillId="9" borderId="0" xfId="0" applyNumberFormat="1" applyFont="1" applyFill="1" applyBorder="1"/>
    <x:xf numFmtId="0" fontId="15" fillId="2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/>
    <x:xf numFmtId="0" fontId="17" fillId="3" borderId="0" xfId="0" applyNumberFormat="1" applyFont="1" applyFill="1" applyBorder="1" applyAlignment="1">
      <x:alignment vertical="center" wrapText="1"/>
    </x:xf>
    <x:xf numFmtId="0" fontId="18" fillId="4" borderId="0" xfId="0" applyNumberFormat="1" applyFont="1" applyFill="1" applyBorder="1" applyAlignment="1">
      <x:alignment wrapText="1"/>
    </x:xf>
    <x:xf numFmtId="0" fontId="15" fillId="5" borderId="1" xfId="0" applyNumberFormat="1" applyFont="1" applyFill="1" applyBorder="1" applyAlignment="1">
      <x:alignment vertical="center" wrapText="1"/>
    </x:xf>
    <x:xf numFmtId="0" fontId="16" fillId="0" borderId="1" xfId="0" applyNumberFormat="1" applyFont="1" applyFill="1" applyBorder="1" applyAlignment="1">
      <x:alignment vertical="center" wrapText="1"/>
    </x:xf>
    <x:xf numFmtId="200" fontId="16" fillId="0" borderId="1" xfId="0" applyNumberFormat="1" applyFont="1" applyFill="1" applyBorder="1" applyAlignment="1">
      <x:alignment vertical="center" wrapText="1"/>
    </x:xf>
    <x:xf numFmtId="201" fontId="16" fillId="0" borderId="1" xfId="0" applyNumberFormat="1" applyFont="1" applyFill="1" applyBorder="1" applyAlignment="1">
      <x:alignment vertical="center" wrapText="1"/>
    </x:xf>
    <x:xf numFmtId="0" fontId="19" fillId="6" borderId="0" xfId="0" applyNumberFormat="1" applyFont="1" applyFill="1" applyBorder="1"/>
    <x:xf numFmtId="0" fontId="19" fillId="6" borderId="0" xfId="0" applyNumberFormat="1" applyFont="1" applyFill="1" applyBorder="1" applyAlignment="1">
      <x:alignment wrapText="1"/>
    </x:xf>
    <x:xf numFmtId="0" fontId="20" fillId="8" borderId="0" xfId="0" applyNumberFormat="1" applyFont="1" applyFill="1" applyBorder="1"/>
    <x:xf numFmtId="0" fontId="17" fillId="9" borderId="0" xfId="0" applyNumberFormat="1" applyFont="1" applyFill="1" applyBorder="1"/>
    <x:xf numFmtId="0" fontId="16" fillId="0" borderId="0" xfId="0" applyNumberFormat="1" applyFont="1" applyFill="1" applyBorder="1" applyAlignment="1">
      <x:alignment vertical="center"/>
    </x:xf>
    <x:xf numFmtId="0" fontId="18" fillId="4" borderId="0" xfId="0" applyNumberFormat="1" applyFont="1" applyFill="1" applyBorder="1" applyAlignment="1">
      <x:alignment vertical="center" wrapText="1"/>
    </x:xf>
    <x:xf numFmtId="0" fontId="19" fillId="6" borderId="0" xfId="0" applyNumberFormat="1" applyFont="1" applyFill="1" applyBorder="1" applyAlignment="1">
      <x:alignment vertical="center"/>
    </x:xf>
    <x:xf numFmtId="0" fontId="19" fillId="6" borderId="0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 applyAlignment="1">
      <x:alignment vertical="center"/>
    </x:xf>
    <x:xf numFmtId="0" fontId="17" fillId="9" borderId="0" xfId="0" applyNumberFormat="1" applyFont="1" applyFill="1" applyBorder="1" applyAlignment="1">
      <x:alignment vertical="center"/>
    </x:xf>
    <x:xf numFmtId="202" fontId="16" fillId="0" borderId="1" xfId="0" applyNumberFormat="1" applyFont="1" applyFill="1" applyBorder="1" applyAlignment="1">
      <x:alignment vertical="center" wrapText="1"/>
    </x:xf>
    <x:xf numFmtId="0" fontId="21" fillId="6" borderId="0" xfId="0" applyNumberFormat="1" applyFont="1" applyFill="1" applyBorder="1" applyAlignment="1">
      <x:alignment wrapText="1"/>
    </x:xf>
    <x:xf numFmtId="0" fontId="21" fillId="6" borderId="0" xfId="0" applyNumberFormat="1" applyFont="1" applyFill="1" applyBorder="1" applyAlignment="1">
      <x:alignment vertical="center" wrapText="1"/>
    </x:xf>
    <x:xf numFmtId="203" fontId="16" fillId="0" borderId="1" xfId="0" applyNumberFormat="1" applyFont="1" applyFill="1" applyBorder="1" applyAlignment="1">
      <x:alignment vertical="center" wrapText="1"/>
    </x:xf>
    <x:xf numFmtId="203" fontId="19" fillId="6" borderId="1" xfId="0" applyNumberFormat="1" applyFont="1" applyFill="1" applyBorder="1" applyAlignment="1">
      <x:alignment vertical="center" wrapText="1"/>
    </x:xf>
    <x:xf numFmtId="204" fontId="16" fillId="0" borderId="1" xfId="0" applyNumberFormat="1" applyFont="1" applyFill="1" applyBorder="1" applyAlignment="1">
      <x:alignment vertical="center" wrapText="1"/>
    </x:xf>
    <x:xf numFmtId="0" fontId="22" fillId="4" borderId="0" xfId="0" applyNumberFormat="1" applyFont="1" applyFill="1" applyBorder="1" applyAlignment="1">
      <x:alignment wrapText="1"/>
    </x:xf>
    <x:xf numFmtId="0" fontId="19" fillId="6" borderId="1" xfId="0" applyNumberFormat="1" applyFont="1" applyFill="1" applyBorder="1" applyAlignment="1">
      <x:alignment vertical="center" wrapText="1"/>
    </x:xf>
    <x:xf numFmtId="0" fontId="22" fillId="4" borderId="0" xfId="0" applyNumberFormat="1" applyFont="1" applyFill="1" applyBorder="1" applyAlignment="1">
      <x:alignment vertical="center" wrapText="1"/>
    </x:xf>
    <x:xf numFmtId="204" fontId="23" fillId="6" borderId="1" xfId="0" applyNumberFormat="1" applyFont="1" applyFill="1" applyBorder="1" applyAlignment="1">
      <x:alignment vertical="center" wrapText="1"/>
    </x:xf>
    <x:xf numFmtId="205" fontId="23" fillId="6" borderId="1" xfId="0" applyNumberFormat="1" applyFont="1" applyFill="1" applyBorder="1" applyAlignment="1">
      <x:alignment vertical="center" wrapText="1"/>
    </x:xf>
    <x:xf numFmtId="206" fontId="16" fillId="0" borderId="1" xfId="0" applyNumberFormat="1" applyFont="1" applyFill="1" applyBorder="1" applyAlignment="1">
      <x:alignment vertical="center" wrapText="1"/>
    </x:xf>
    <x:xf numFmtId="202" fontId="23" fillId="6" borderId="1" xfId="0" applyNumberFormat="1" applyFont="1" applyFill="1" applyBorder="1" applyAlignment="1">
      <x:alignment vertical="center" wrapText="1"/>
    </x:xf>
    <x:xf numFmtId="200" fontId="23" fillId="6" borderId="1" xfId="0" applyNumberFormat="1" applyFont="1" applyFill="1" applyBorder="1" applyAlignment="1">
      <x:alignment vertical="center" wrapText="1"/>
    </x:xf>
    <x:xf numFmtId="200" fontId="24" fillId="9" borderId="1" xfId="0" applyNumberFormat="1" applyFont="1" applyFill="1" applyBorder="1" applyAlignment="1">
      <x:alignment vertical="center" wrapText="1"/>
    </x:xf>
    <x:xf numFmtId="200" fontId="25" fillId="7" borderId="1" xfId="0" applyNumberFormat="1" applyFont="1" applyFill="1" applyBorder="1" applyAlignment="1">
      <x:alignment vertical="center" wrapText="1"/>
    </x:xf>
    <x:xf numFmtId="202" fontId="25" fillId="7" borderId="1" xfId="0" applyNumberFormat="1" applyFont="1" applyFill="1" applyBorder="1" applyAlignment="1">
      <x:alignment vertical="center" wrapText="1"/>
    </x:xf>
    <x:xf numFmtId="200" fontId="16" fillId="6" borderId="1" xfId="0" applyNumberFormat="1" applyFont="1" applyFill="1" applyBorder="1" applyAlignment="1">
      <x:alignment vertical="center" wrapText="1"/>
    </x:xf>
    <x:xf numFmtId="207" fontId="23" fillId="6" borderId="1" xfId="0" applyNumberFormat="1" applyFont="1" applyFill="1" applyBorder="1" applyAlignment="1">
      <x:alignment vertical="center" wrapText="1"/>
    </x:xf>
    <x:xf numFmtId="202" fontId="16" fillId="6" borderId="1" xfId="0" applyNumberFormat="1" applyFont="1" applyFill="1" applyBorder="1" applyAlignment="1">
      <x:alignment vertical="center" wrapText="1"/>
    </x:xf>
    <x:xf numFmtId="204" fontId="16" fillId="6" borderId="1" xfId="0" applyNumberFormat="1" applyFont="1" applyFill="1" applyBorder="1" applyAlignment="1">
      <x:alignment vertical="center" wrapText="1"/>
    </x:xf>
    <x:xf numFmtId="0" fontId="15" fillId="10" borderId="0" xfId="0" applyNumberFormat="1" applyFont="1" applyFill="1" applyBorder="1" applyAlignment="1">
      <x:alignment horizontal="center"/>
    </x:xf>
    <x:xf numFmtId="0" fontId="15" fillId="3" borderId="0" xfId="0" applyNumberFormat="1" applyFont="1" applyFill="1" applyBorder="1" applyAlignment="1">
      <x:alignment horizontal="center"/>
    </x:xf>
    <x:xf numFmtId="200" fontId="16" fillId="0" borderId="0" xfId="0" applyNumberFormat="1" applyFont="1" applyFill="1" applyBorder="1"/>
    <x:xf numFmtId="200" fontId="19" fillId="6" borderId="1" xfId="0" applyNumberFormat="1" applyFont="1" applyFill="1" applyBorder="1" applyAlignment="1">
      <x:alignment vertical="center" wrapText="1"/>
    </x:xf>
    <x:xf numFmtId="208" fontId="16" fillId="0" borderId="1" xfId="0" applyNumberFormat="1" applyFont="1" applyFill="1" applyBorder="1" applyAlignment="1">
      <x:alignment vertical="center" wrapText="1"/>
    </x:xf>
    <x:xf numFmtId="209" fontId="16" fillId="0" borderId="1" xfId="0" applyNumberFormat="1" applyFont="1" applyFill="1" applyBorder="1" applyAlignment="1">
      <x:alignment vertical="center" wrapText="1"/>
    </x:xf>
    <x:xf numFmtId="0" fontId="16" fillId="6" borderId="1" xfId="0" applyNumberFormat="1" applyFont="1" applyFill="1" applyBorder="1" applyAlignment="1">
      <x:alignment vertical="center" wrapText="1"/>
    </x:xf>
    <x:xf numFmtId="0" fontId="15" fillId="10" borderId="0" xfId="0" applyNumberFormat="1" applyFont="1" applyFill="1" applyBorder="1" applyAlignment="1">
      <x:alignment horizontal="center" vertical="center"/>
    </x:xf>
    <x:xf numFmtId="0" fontId="15" fillId="3" borderId="0" xfId="0" applyNumberFormat="1" applyFont="1" applyFill="1" applyBorder="1" applyAlignment="1">
      <x:alignment horizontal="center" vertical="center"/>
    </x:xf>
    <x:xf numFmtId="200" fontId="16" fillId="0" borderId="0" xfId="0" applyNumberFormat="1" applyFont="1" applyFill="1" applyBorder="1" applyAlignment="1">
      <x:alignment vertical="center"/>
    </x:xf>
    <x:xf numFmtId="0" fontId="15" fillId="5" borderId="0" xfId="0" applyNumberFormat="1" applyFont="1" applyFill="1" applyBorder="1"/>
    <x:xf numFmtId="202" fontId="19" fillId="6" borderId="1" xfId="0" applyNumberFormat="1" applyFont="1" applyFill="1" applyBorder="1" applyAlignment="1">
      <x:alignment vertical="center" wrapText="1"/>
    </x:xf>
    <x:xf numFmtId="0" fontId="15" fillId="5" borderId="0" xfId="0" applyNumberFormat="1" applyFont="1" applyFill="1" applyBorder="1" applyAlignment="1">
      <x:alignment vertical="center"/>
    </x:xf>
    <x:xf numFmtId="212" fontId="16" fillId="0" borderId="1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 applyAlignment="1">
      <x:alignment wrapText="1"/>
    </x:xf>
    <x:xf numFmtId="211" fontId="16" fillId="6" borderId="1" xfId="0" applyNumberFormat="1" applyFont="1" applyFill="1" applyBorder="1" applyAlignment="1">
      <x:alignment vertical="center" wrapText="1"/>
    </x:xf>
    <x:xf numFmtId="210" fontId="16" fillId="6" borderId="1" xfId="0" applyNumberFormat="1" applyFont="1" applyFill="1" applyBorder="1" applyAlignment="1">
      <x:alignment vertical="center" wrapText="1"/>
    </x:xf>
    <x:xf numFmtId="0" fontId="25" fillId="7" borderId="1" xfId="0" applyNumberFormat="1" applyFont="1" applyFill="1" applyBorder="1" applyAlignment="1">
      <x:alignment vertical="center" wrapText="1"/>
    </x:xf>
    <x:xf numFmtId="0" fontId="20" fillId="8" borderId="0" xfId="0" applyNumberFormat="1" applyFont="1" applyFill="1" applyBorder="1" applyAlignment="1">
      <x:alignment vertical="center" wrapText="1"/>
    </x:xf>
    <x:xf numFmtId="220" fontId="16" fillId="0" borderId="1" xfId="0" applyNumberFormat="1" applyFont="1" applyFill="1" applyBorder="1" applyAlignment="1">
      <x:alignment vertical="center" wrapText="1"/>
    </x:xf>
    <x:xf numFmtId="213" fontId="16" fillId="0" borderId="1" xfId="0" applyNumberFormat="1" applyFont="1" applyFill="1" applyBorder="1" applyAlignment="1">
      <x:alignment vertical="center" wrapText="1"/>
    </x:xf>
    <x:xf numFmtId="0" fontId="16" fillId="9" borderId="0" xfId="0" applyNumberFormat="1" applyFont="1" applyFill="1" applyBorder="1"/>
    <x:xf numFmtId="0" fontId="16" fillId="6" borderId="1" xfId="0" applyNumberFormat="1" applyFont="1" applyFill="1" applyBorder="1" applyAlignment="1">
      <x:alignment horizontal="center" vertical="center" wrapText="1"/>
    </x:xf>
    <x:xf numFmtId="204" fontId="16" fillId="6" borderId="1" xfId="0" applyNumberFormat="1" applyFont="1" applyFill="1" applyBorder="1" applyAlignment="1">
      <x:alignment horizontal="center" vertical="center" wrapText="1"/>
    </x:xf>
    <x:xf numFmtId="205" fontId="16" fillId="6" borderId="1" xfId="0" applyNumberFormat="1" applyFont="1" applyFill="1" applyBorder="1" applyAlignment="1">
      <x:alignment horizontal="center" vertical="center" wrapText="1"/>
    </x:xf>
    <x:xf numFmtId="0" fontId="16" fillId="9" borderId="1" xfId="0" applyNumberFormat="1" applyFont="1" applyFill="1" applyBorder="1" applyAlignment="1">
      <x:alignment horizontal="center" vertical="center" wrapText="1"/>
    </x:xf>
    <x:xf numFmtId="204" fontId="16" fillId="9" borderId="1" xfId="0" applyNumberFormat="1" applyFont="1" applyFill="1" applyBorder="1" applyAlignment="1">
      <x:alignment horizontal="center" vertical="center" wrapText="1"/>
    </x:xf>
    <x:xf numFmtId="205" fontId="16" fillId="9" borderId="1" xfId="0" applyNumberFormat="1" applyFont="1" applyFill="1" applyBorder="1" applyAlignment="1">
      <x:alignment horizontal="center" vertical="center" wrapText="1"/>
    </x:xf>
    <x:xf numFmtId="0" fontId="16" fillId="7" borderId="0" xfId="0" applyNumberFormat="1" applyFont="1" applyFill="1" applyBorder="1" applyAlignment="1">
      <x:alignment wrapText="1"/>
    </x:xf>
    <x:xf numFmtId="0" fontId="16" fillId="9" borderId="1" xfId="0" applyNumberFormat="1" applyFont="1" applyFill="1" applyBorder="1" applyAlignment="1">
      <x:alignment vertical="center" wrapText="1"/>
    </x:xf>
    <x:xf numFmtId="204" fontId="16" fillId="9" borderId="1" xfId="0" applyNumberFormat="1" applyFont="1" applyFill="1" applyBorder="1" applyAlignment="1">
      <x:alignment vertical="center" wrapText="1"/>
    </x:xf>
    <x:xf numFmtId="209" fontId="16" fillId="9" borderId="1" xfId="0" applyNumberFormat="1" applyFont="1" applyFill="1" applyBorder="1" applyAlignment="1">
      <x:alignment vertical="center" wrapText="1"/>
    </x:xf>
    <x:xf numFmtId="0" fontId="23" fillId="6" borderId="1" xfId="0" applyNumberFormat="1" applyFont="1" applyFill="1" applyBorder="1" applyAlignment="1">
      <x:alignment vertical="center" wrapText="1"/>
    </x:xf>
    <x:xf numFmtId="0" fontId="21" fillId="7" borderId="0" xfId="0" applyNumberFormat="1" applyFont="1" applyFill="1" applyBorder="1" applyAlignment="1">
      <x:alignment wrapText="1"/>
    </x:xf>
    <x:xf numFmtId="0" fontId="16" fillId="9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21" fillId="7" borderId="0" xfId="0" applyNumberFormat="1" applyFont="1" applyFill="1" applyBorder="1" applyAlignment="1">
      <x:alignment vertical="center" wrapText="1"/>
    </x:xf>
    <x:xf numFmtId="215" fontId="16" fillId="9" borderId="1" xfId="0" applyNumberFormat="1" applyFont="1" applyFill="1" applyBorder="1" applyAlignment="1">
      <x:alignment vertical="center" wrapText="1"/>
    </x:xf>
    <x:xf numFmtId="214" fontId="16" fillId="9" borderId="1" xfId="0" applyNumberFormat="1" applyFont="1" applyFill="1" applyBorder="1" applyAlignment="1">
      <x:alignment vertical="center" wrapText="1"/>
    </x:xf>
    <x:xf numFmtId="202" fontId="16" fillId="9" borderId="1" xfId="0" applyNumberFormat="1" applyFont="1" applyFill="1" applyBorder="1" applyAlignment="1">
      <x:alignment vertical="center" wrapText="1"/>
    </x:xf>
    <x:xf numFmtId="200" fontId="16" fillId="9" borderId="1" xfId="0" applyNumberFormat="1" applyFont="1" applyFill="1" applyBorder="1" applyAlignment="1">
      <x:alignment vertical="center" wrapText="1"/>
    </x:xf>
    <x:xf numFmtId="0" fontId="25" fillId="7" borderId="0" xfId="0" applyNumberFormat="1" applyFont="1" applyFill="1" applyBorder="1" applyAlignment="1">
      <x:alignment wrapText="1"/>
    </x:xf>
    <x:xf numFmtId="0" fontId="25" fillId="7" borderId="0" xfId="0" applyNumberFormat="1" applyFont="1" applyFill="1" applyBorder="1" applyAlignment="1">
      <x:alignment vertical="center" wrapText="1"/>
    </x:xf>
    <x:xf numFmtId="216" fontId="16" fillId="9" borderId="1" xfId="0" applyNumberFormat="1" applyFont="1" applyFill="1" applyBorder="1" applyAlignment="1">
      <x:alignment vertical="center" wrapText="1"/>
    </x:xf>
    <x:xf numFmtId="217" fontId="25" fillId="9" borderId="1" xfId="0" applyNumberFormat="1" applyFont="1" applyFill="1" applyBorder="1" applyAlignment="1">
      <x:alignment horizontal="right" vertical="center" wrapText="1"/>
    </x:xf>
    <x:xf numFmtId="218" fontId="26" fillId="9" borderId="1" xfId="0" applyNumberFormat="1" applyFont="1" applyFill="1" applyBorder="1" applyAlignment="1">
      <x:alignment horizontal="right" vertical="center" wrapText="1"/>
    </x:xf>
    <x:xf numFmtId="217" fontId="26" fillId="9" borderId="1" xfId="0" applyNumberFormat="1" applyFont="1" applyFill="1" applyBorder="1" applyAlignment="1">
      <x:alignment horizontal="right" vertical="center" wrapText="1"/>
    </x:xf>
    <x:xf numFmtId="217" fontId="16" fillId="9" borderId="1" xfId="0" applyNumberFormat="1" applyFont="1" applyFill="1" applyBorder="1" applyAlignment="1">
      <x:alignment vertical="center" wrapText="1"/>
    </x:xf>
    <x:xf numFmtId="217" fontId="26" fillId="9" borderId="1" xfId="0" applyNumberFormat="1" applyFont="1" applyFill="1" applyBorder="1" applyAlignment="1">
      <x:alignment vertical="center" wrapText="1"/>
    </x:xf>
    <x:xf numFmtId="219" fontId="25" fillId="9" borderId="1" xfId="0" applyNumberFormat="1" applyFont="1" applyFill="1" applyBorder="1" applyAlignment="1">
      <x:alignment horizontal="right" vertical="center" wrapText="1"/>
    </x:xf>
    <x:xf numFmtId="0" fontId="27" fillId="9" borderId="1" xfId="0" applyNumberFormat="1" applyFont="1" applyFill="1" applyBorder="1" applyAlignment="1">
      <x:alignment vertical="center" wrapText="1"/>
    </x:xf>
    <x:xf numFmtId="0" fontId="26" fillId="9" borderId="1" xfId="0" applyNumberFormat="1" applyFont="1" applyFill="1" applyBorder="1" applyAlignment="1">
      <x:alignment vertical="center" wrapText="1"/>
    </x:xf>
    <x:xf numFmtId="218" fontId="26" fillId="9" borderId="1" xfId="0" applyNumberFormat="1" applyFont="1" applyFill="1" applyBorder="1" applyAlignment="1">
      <x:alignment vertical="center" wrapText="1"/>
    </x:xf>
    <x:xf numFmtId="0" fontId="28" fillId="7" borderId="1" xfId="0" applyNumberFormat="1" applyFont="1" applyFill="1" applyBorder="1" applyAlignment="1">
      <x:alignment vertical="center" wrapText="1"/>
    </x:xf>
    <x:xf numFmtId="0" fontId="28" fillId="6" borderId="2" xfId="0" applyNumberFormat="1" applyFont="1" applyFill="1" applyBorder="1" applyAlignment="1">
      <x:alignment vertical="center" wrapText="1"/>
    </x:xf>
    <x:xf numFmtId="217" fontId="29" fillId="7" borderId="2" xfId="0" applyNumberFormat="1" applyFont="1" applyFill="1" applyBorder="1" applyAlignment="1">
      <x:alignment horizontal="right" vertical="center" wrapText="1"/>
    </x:xf>
    <x:xf numFmtId="217" fontId="19" fillId="6" borderId="2" xfId="0" applyNumberFormat="1" applyFont="1" applyFill="1" applyBorder="1" applyAlignment="1">
      <x:alignment horizontal="right" vertical="center" wrapText="1"/>
    </x:xf>
    <x:xf numFmtId="217" fontId="26" fillId="7" borderId="1" xfId="0" applyNumberFormat="1" applyFont="1" applyFill="1" applyBorder="1" applyAlignment="1">
      <x:alignment horizontal="right" vertical="center" wrapText="1"/>
    </x:xf>
    <x:xf numFmtId="218" fontId="26" fillId="7" borderId="1" xfId="0" applyNumberFormat="1" applyFont="1" applyFill="1" applyBorder="1" applyAlignment="1">
      <x:alignment horizontal="right" vertical="center" wrapText="1"/>
    </x:xf>
    <x:xf numFmtId="217" fontId="27" fillId="9" borderId="1" xfId="0" applyNumberFormat="1" applyFont="1" applyFill="1" applyBorder="1" applyAlignment="1">
      <x:alignment horizontal="right" vertical="center" wrapText="1"/>
    </x:xf>
    <x:xf numFmtId="218" fontId="27" fillId="7" borderId="1" xfId="0" applyNumberFormat="1" applyFont="1" applyFill="1" applyBorder="1" applyAlignment="1">
      <x:alignment horizontal="right" vertical="center" wrapText="1"/>
    </x:xf>
    <x:xf numFmtId="0" fontId="28" fillId="6" borderId="3" xfId="0" applyNumberFormat="1" applyFont="1" applyFill="1" applyBorder="1" applyAlignment="1">
      <x:alignment vertical="center"/>
    </x:xf>
    <x:xf numFmtId="217" fontId="28" fillId="7" borderId="3" xfId="0" applyNumberFormat="1" applyFont="1" applyFill="1" applyBorder="1" applyAlignment="1">
      <x:alignment horizontal="right" vertical="center"/>
    </x:xf>
    <x:xf numFmtId="217" fontId="28" fillId="6" borderId="3" xfId="0" applyNumberFormat="1" applyFont="1" applyFill="1" applyBorder="1" applyAlignment="1">
      <x:alignment horizontal="right" vertical="center"/>
    </x:xf>
    <x:xf numFmtId="0" fontId="16" fillId="7" borderId="0" xfId="0" applyNumberFormat="1" applyFont="1" applyFill="1" applyBorder="1" applyAlignment="1">
      <x:alignment vertical="center"/>
    </x:xf>
    <x:xf numFmtId="218" fontId="16" fillId="7" borderId="1" xfId="0" applyNumberFormat="1" applyFont="1" applyFill="1" applyBorder="1" applyAlignment="1">
      <x:alignment horizontal="right" vertical="center" wrapText="1"/>
    </x:xf>
    <x:xf numFmtId="218" fontId="27" fillId="9" borderId="1" xfId="0" applyNumberFormat="1" applyFont="1" applyFill="1" applyBorder="1" applyAlignment="1">
      <x:alignment horizontal="right" vertical="center" wrapText="1"/>
    </x:xf>
    <x:xf numFmtId="217" fontId="16" fillId="7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3">
    <x:dxf>
      <x:font>
        <x:b/>
        <x:color rgb="FF0758CA"/>
      </x:font>
      <x:fill>
        <x:patternFill patternType="solid">
          <x:bgColor rgb="FFEEF5FF"/>
        </x:patternFill>
      </x:fill>
    </x:dxf>
    <x:dxf>
      <x:font>
        <x:b/>
        <x:color rgb="FFB34646"/>
      </x:font>
      <x:fill>
        <x:patternFill patternType="solid">
          <x:bgColor rgb="FFFFF3F2"/>
        </x:patternFill>
      </x:fill>
    </x:dxf>
    <x:dxf>
      <x:font>
        <x:b/>
        <x:color rgb="FFB34646"/>
      </x:font>
      <x:fill>
        <x:patternFill patternType="solid">
          <x:bgColor rgb="FFFFF3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6a5733dc944c4" /><Relationship Type="http://schemas.openxmlformats.org/officeDocument/2006/relationships/theme" Target="/xl/theme/theme1.xml" Id="R875cde8d5d1a470e" /><Relationship Type="http://schemas.openxmlformats.org/officeDocument/2006/relationships/sharedStrings" Target="/xl/sharedStrings.xml" Id="Rfba30d88007e44e7" /><Relationship Type="http://schemas.openxmlformats.org/officeDocument/2006/relationships/worksheet" Target="/xl/worksheets/sheet1.xml" Id="R3210452496874f4e" /><Relationship Type="http://schemas.openxmlformats.org/officeDocument/2006/relationships/worksheet" Target="/xl/worksheets/sheet2.xml" Id="R4444440d818642b4" /><Relationship Type="http://schemas.openxmlformats.org/officeDocument/2006/relationships/worksheet" Target="/xl/worksheets/sheet3.xml" Id="R33cdb28ad9a64398" /><Relationship Type="http://schemas.openxmlformats.org/officeDocument/2006/relationships/worksheet" Target="/xl/worksheets/sheet4.xml" Id="Rd8e04d17b2ac4b89" /><Relationship Type="http://schemas.openxmlformats.org/officeDocument/2006/relationships/worksheet" Target="/xl/worksheets/sheet5.xml" Id="Ra67a6e0e30184831" /><Relationship Type="http://schemas.openxmlformats.org/officeDocument/2006/relationships/worksheet" Target="/xl/worksheets/sheet6.xml" Id="Rc5e3a2b7d6cc4299" /><Relationship Type="http://schemas.openxmlformats.org/officeDocument/2006/relationships/worksheet" Target="/xl/worksheets/sheet7.xml" Id="R15c03234636545bf" /><Relationship Type="http://schemas.openxmlformats.org/officeDocument/2006/relationships/worksheet" Target="/xl/worksheets/sheet8.xml" Id="Re06f42c959774896" /><Relationship Type="http://schemas.openxmlformats.org/officeDocument/2006/relationships/worksheet" Target="/xl/worksheets/sheet9.xml" Id="R6182ece5f490461c" /><Relationship Type="http://schemas.openxmlformats.org/officeDocument/2006/relationships/worksheet" Target="/xl/worksheets/sheet10.xml" Id="R168b2e0056134ad1" /><Relationship Type="http://schemas.openxmlformats.org/officeDocument/2006/relationships/worksheet" Target="/xl/worksheets/sheet11.xml" Id="Rf400f176b39f4b26" /><Relationship Type="http://schemas.openxmlformats.org/officeDocument/2006/relationships/worksheet" Target="/xl/worksheets/sheet12.xml" Id="Rc46367c02bce49a7" /><Relationship Type="http://schemas.openxmlformats.org/officeDocument/2006/relationships/worksheet" Target="/xl/worksheets/sheet13.xml" Id="R03db410db17f451d" /><Relationship Type="http://schemas.openxmlformats.org/officeDocument/2006/relationships/worksheet" Target="/xl/worksheets/sheet14.xml" Id="Raad34567c3b541b8" /><Relationship Type="http://schemas.openxmlformats.org/officeDocument/2006/relationships/worksheet" Target="/xl/worksheets/sheet15.xml" Id="Rbb1d5a24273b4426" /><Relationship Type="http://schemas.openxmlformats.org/officeDocument/2006/relationships/worksheet" Target="/xl/worksheets/sheet16.xml" Id="R941ce185dc634ae1" /><Relationship Type="http://schemas.openxmlformats.org/officeDocument/2006/relationships/worksheet" Target="/xl/worksheets/sheet17.xml" Id="Ra50a4577dc2c4441" /><Relationship Type="http://schemas.microsoft.com/office/2017/10/relationships/person" Target="/xl/persons/person.xml" Id="R5807092b3bc64b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5aaad5076f448bc" /><Relationship Type="http://schemas.openxmlformats.org/officeDocument/2006/relationships/chart" Target="/xl/drawings/charts/chart2.xml" Id="R57982d192aac47c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21cca6b161bd488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363fcd05c67548b7" /><Relationship Type="http://schemas.openxmlformats.org/officeDocument/2006/relationships/chart" Target="/xl/drawings/charts/chart5.xml" Id="R7ba6709fa4f64845" /><Relationship Type="http://schemas.openxmlformats.org/officeDocument/2006/relationships/chart" Target="/xl/drawings/charts/chart6.xml" Id="R26d0070272e24db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7.xml" Id="Rcd60078f12ea461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8.xml" Id="R0c7053fd96a54c9a" /><Relationship Type="http://schemas.openxmlformats.org/officeDocument/2006/relationships/chart" Target="/xl/drawings/charts/chart9.xml" Id="Re617c37a17744811" /><Relationship Type="http://schemas.openxmlformats.org/officeDocument/2006/relationships/chart" Target="/xl/drawings/charts/chart10.xml" Id="R2706d44d6f1942cd" /><Relationship Type="http://schemas.openxmlformats.org/officeDocument/2006/relationships/chart" Target="/xl/drawings/charts/chart11.xml" Id="R27f8fb9cc8ee4f7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2.xml" Id="R436501487d8849eb" /><Relationship Type="http://schemas.openxmlformats.org/officeDocument/2006/relationships/chart" Target="/xl/drawings/charts/chart13.xml" Id="R5b3ee3441b12461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2026H1主营收入（亿元）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主营收入</c:v>
          </c:tx>
          <c:cat>
            <c:strRef>
              <c:f>'财务实际'!$A$11:$A$17</c:f>
              <c:strCache>
                <c:ptCount val="0"/>
              </c:strCache>
            </c:strRef>
          </c:cat>
          <c:val>
            <c:numRef>
              <c:f>'财务实际'!$B$11:$B$17</c:f>
              <c:numCache>
                <c:formatCode>0.0000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2025Q1—2026Q2光通信季度收入（亿元）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光通信收入（亿元）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'财务实际'!$A$22:$A$27</c:f>
              <c:strCache>
                <c:ptCount val="0"/>
              </c:strCache>
            </c:strRef>
          </c:cat>
          <c:val>
            <c:numRef>
              <c:f>'财务实际'!$B$22:$B$27</c:f>
              <c:numCache>
                <c:formatCode>0.0000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报告利润与经营观察值（亿元）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报告归母净利润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'利润还原'!$N$5:$N$8</c:f>
              <c:strCache>
                <c:ptCount val="0"/>
              </c:strCache>
            </c:strRef>
          </c:cat>
          <c:val>
            <c:numRef>
              <c:f>'利润还原'!$O$5:$O$8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经营观察值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'利润还原'!$N$5:$N$8</c:f>
              <c:strCache>
                <c:ptCount val="0"/>
              </c:strCache>
            </c:strRef>
          </c:cat>
          <c:val>
            <c:numRef>
              <c:f>'利润还原'!$P$5:$P$8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完全机械还原值</c:v>
          </c:tx>
          <c:spPr>
            <a:solidFill xmlns:a="http://schemas.openxmlformats.org/drawingml/2006/main">
              <a:srgbClr val="67A4FF"/>
            </a:solidFill>
          </c:spPr>
          <c:cat>
            <c:strRef>
              <c:f>'利润还原'!$N$5:$N$8</c:f>
              <c:strCache>
                <c:ptCount val="0"/>
              </c:strCache>
            </c:strRef>
          </c:cat>
          <c:val>
            <c:numRef>
              <c:f>'利润还原'!$Q$5:$Q$8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模块／光引擎需求与速率迁移（百万个）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400G</c:v>
          </c:tx>
          <c:spPr>
            <a:solidFill xmlns:a="http://schemas.openxmlformats.org/drawingml/2006/main">
              <a:srgbClr val="B8D2FA"/>
            </a:solidFill>
          </c:spPr>
          <c:cat>
            <c:strRef>
              <c:f>'行业趋势'!$N$5:$N$10</c:f>
              <c:strCache>
                <c:ptCount val="0"/>
              </c:strCache>
            </c:strRef>
          </c:cat>
          <c:val>
            <c:numRef>
              <c:f>'行业趋势'!$O$5:$O$10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800G</c:v>
          </c:tx>
          <c:spPr>
            <a:solidFill xmlns:a="http://schemas.openxmlformats.org/drawingml/2006/main">
              <a:srgbClr val="67A4FF"/>
            </a:solidFill>
          </c:spPr>
          <c:cat>
            <c:strRef>
              <c:f>'行业趋势'!$N$5:$N$10</c:f>
              <c:strCache>
                <c:ptCount val="0"/>
              </c:strCache>
            </c:strRef>
          </c:cat>
          <c:val>
            <c:numRef>
              <c:f>'行业趋势'!$P$5:$P$10</c:f>
              <c:numCache>
                <c:formatCode>0</c:formatCode>
                <c:ptCount val="0"/>
              </c:numCache>
            </c:numRef>
          </c:val>
        </c:ser>
        <c:ser>
          <c:idx val="2"/>
          <c:order val="2"/>
          <c:tx>
            <c:v>1.6T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'行业趋势'!$N$5:$N$10</c:f>
              <c:strCache>
                <c:ptCount val="0"/>
              </c:strCache>
            </c:strRef>
          </c:cat>
          <c:val>
            <c:numRef>
              <c:f>'行业趋势'!$Q$5:$Q$10</c:f>
              <c:numCache>
                <c:formatCode>0</c:formatCode>
                <c:ptCount val="0"/>
              </c:numCache>
            </c:numRef>
          </c:val>
        </c:ser>
        <c:ser>
          <c:idx val="3"/>
          <c:order val="3"/>
          <c:tx>
            <c:v>3.2T光引擎参考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'行业趋势'!$N$5:$N$10</c:f>
              <c:strCache>
                <c:ptCount val="0"/>
              </c:strCache>
            </c:strRef>
          </c:cat>
          <c:val>
            <c:numRef>
              <c:f>'行业趋势'!$R$5:$R$10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CoWoS产能（千片/月）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CoWoS产能（千片/月）</c:v>
          </c:tx>
          <c:spPr>
            <a:solidFill xmlns:a="http://schemas.openxmlformats.org/drawingml/2006/main">
              <a:srgbClr val="0969F5"/>
            </a:solidFill>
          </c:spPr>
          <c:marker>
            <c:symbol val="none"/>
          </c:marker>
          <c:cat>
            <c:strRef>
              <c:f>'行业趋势'!$A$5:$A$10</c:f>
              <c:strCache>
                <c:ptCount val="0"/>
              </c:strCache>
            </c:strRef>
          </c:cat>
          <c:val>
            <c:numRef>
              <c:f>'行业趋势'!$B$5:$B$10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AI加速器出货（百万颗）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AI加速器出货（百万颗）</c:v>
          </c:tx>
          <c:spPr>
            <a:solidFill xmlns:a="http://schemas.openxmlformats.org/drawingml/2006/main">
              <a:srgbClr val="1D4F83"/>
            </a:solidFill>
          </c:spPr>
          <c:marker>
            <c:symbol val="none"/>
          </c:marker>
          <c:cat>
            <c:strRef>
              <c:f>'行业趋势'!$A$5:$A$10</c:f>
              <c:strCache>
                <c:ptCount val="0"/>
              </c:strCache>
            </c:strRef>
          </c:cat>
          <c:val>
            <c:numRef>
              <c:f>'行业趋势'!$C$5:$C$10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7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收入与毛利对比（亿元）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营业收入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'合并预测'!$H$55:$H$59</c:f>
              <c:strCache>
                <c:ptCount val="0"/>
              </c:strCache>
            </c:strRef>
          </c:cat>
          <c:val>
            <c:numRef>
              <c:f>'合并预测'!$I$55:$I$59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毛利润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'合并预测'!$H$55:$H$59</c:f>
              <c:strCache>
                <c:ptCount val="0"/>
              </c:strCache>
            </c:strRef>
          </c:cat>
          <c:val>
            <c:numRef>
              <c:f>'合并预测'!$J$55:$J$59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预测年度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亿元</a:t>
                </a:r>
              </a:p>
            </c:rich>
          </c:tx>
          <c:overlay val="0"/>
        </c:title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8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研发费用：长期平台投入（亿元）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炬光研发费用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'研发与资产'!$A$165:$A$169</c:f>
              <c:strCache>
                <c:ptCount val="0"/>
              </c:strCache>
            </c:strRef>
          </c:cat>
          <c:val>
            <c:numRef>
              <c:f>'研发与资产'!$B$165:$B$169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报告期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亿元</a:t>
                </a:r>
              </a:p>
            </c:rich>
          </c:tx>
          <c:overlay val="0"/>
        </c:title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9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研发费用率：炬光持续高于光学同业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炬光科技</c:v>
          </c:tx>
          <c:spPr>
            <a:solidFill xmlns:a="http://schemas.openxmlformats.org/drawingml/2006/main">
              <a:srgbClr val="1D4F83"/>
            </a:solidFill>
          </c:spPr>
          <c:marker>
            <c:symbol val="none"/>
          </c:marker>
          <c:cat>
            <c:strRef>
              <c:f>'研发与资产'!$A$165:$A$169</c:f>
              <c:strCache>
                <c:ptCount val="0"/>
              </c:strCache>
            </c:strRef>
          </c:cat>
          <c:val>
            <c:numRef>
              <c:f>'研发与资产'!$C$165:$C$169</c:f>
              <c:numCache>
                <c:formatCode>0%</c:formatCode>
                <c:ptCount val="0"/>
              </c:numCache>
            </c:numRef>
          </c:val>
          <c:smooth val="0"/>
        </c:ser>
        <c:ser>
          <c:idx val="1"/>
          <c:order val="1"/>
          <c:tx>
            <c:v>腾景科技</c:v>
          </c:tx>
          <c:spPr>
            <a:solidFill xmlns:a="http://schemas.openxmlformats.org/drawingml/2006/main">
              <a:srgbClr val="0969F5"/>
            </a:solidFill>
          </c:spPr>
          <c:marker>
            <c:symbol val="none"/>
          </c:marker>
          <c:cat>
            <c:strRef>
              <c:f>'研发与资产'!$A$165:$A$169</c:f>
              <c:strCache>
                <c:ptCount val="0"/>
              </c:strCache>
            </c:strRef>
          </c:cat>
          <c:val>
            <c:numRef>
              <c:f>'研发与资产'!$D$165:$D$169</c:f>
              <c:numCache>
                <c:formatCode>0%</c:formatCode>
                <c:ptCount val="0"/>
              </c:numCache>
            </c:numRef>
          </c:val>
          <c:smooth val="0"/>
        </c:ser>
        <c:ser>
          <c:idx val="2"/>
          <c:order val="2"/>
          <c:tx>
            <c:v>蓝特光学</c:v>
          </c:tx>
          <c:spPr>
            <a:solidFill xmlns:a="http://schemas.openxmlformats.org/drawingml/2006/main">
              <a:srgbClr val="A96818"/>
            </a:solidFill>
          </c:spPr>
          <c:marker>
            <c:symbol val="none"/>
          </c:marker>
          <c:cat>
            <c:strRef>
              <c:f>'研发与资产'!$A$165:$A$169</c:f>
              <c:strCache>
                <c:ptCount val="0"/>
              </c:strCache>
            </c:strRef>
          </c:cat>
          <c:val>
            <c:numRef>
              <c:f>'研发与资产'!$E$165:$E$169</c:f>
              <c:numCache>
                <c:formatCode>0%</c:formatCode>
                <c:ptCount val="0"/>
              </c:numCache>
            </c:numRef>
          </c:val>
          <c:smooth val="0"/>
        </c:ser>
        <c:ser>
          <c:idx val="3"/>
          <c:order val="3"/>
          <c:tx>
            <c:v>水晶光电</c:v>
          </c:tx>
          <c:spPr>
            <a:solidFill xmlns:a="http://schemas.openxmlformats.org/drawingml/2006/main">
              <a:srgbClr val="756598"/>
            </a:solidFill>
          </c:spPr>
          <c:marker>
            <c:symbol val="none"/>
          </c:marker>
          <c:cat>
            <c:strRef>
              <c:f>'研发与资产'!$A$165:$A$169</c:f>
              <c:strCache>
                <c:ptCount val="0"/>
              </c:strCache>
            </c:strRef>
          </c:cat>
          <c:val>
            <c:numRef>
              <c:f>'研发与资产'!$F$165:$F$169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报告期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%</a:t>
                </a:r>
              </a:p>
            </c:rich>
          </c:tx>
          <c:overlay val="0"/>
        </c:title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0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固定资产与在建工程：制造平台持续积累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固定资产净额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'研发与资产'!$A$70:$A$73</c:f>
              <c:strCache>
                <c:ptCount val="0"/>
              </c:strCache>
            </c:strRef>
          </c:cat>
          <c:val>
            <c:numRef>
              <c:f>'研发与资产'!$B$70:$B$73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在建工程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'研发与资产'!$A$70:$A$73</c:f>
              <c:strCache>
                <c:ptCount val="0"/>
              </c:strCache>
            </c:strRef>
          </c:cat>
          <c:val>
            <c:numRef>
              <c:f>'研发与资产'!$C$70:$C$73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期末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亿元</a:t>
                </a:r>
              </a:p>
            </c:rich>
          </c:tx>
          <c:overlay val="0"/>
        </c:title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存货与合同负债：余额需结合周转解读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存货净额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'研发与资产'!$A$70:$A$73</c:f>
              <c:strCache>
                <c:ptCount val="0"/>
              </c:strCache>
            </c:strRef>
          </c:cat>
          <c:val>
            <c:numRef>
              <c:f>'研发与资产'!$H$70:$H$73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合同负债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'研发与资产'!$A$70:$A$73</c:f>
              <c:strCache>
                <c:ptCount val="0"/>
              </c:strCache>
            </c:strRef>
          </c:cat>
          <c:val>
            <c:numRef>
              <c:f>'研发与资产'!$K$70:$K$73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期末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亿元</a:t>
                </a:r>
              </a:p>
            </c:rich>
          </c:tx>
          <c:overlay val="0"/>
        </c:title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收入、毛利与归母净利润（亿元）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营业收入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'公司业绩全览'!$A$124:$A$130</c:f>
              <c:strCache>
                <c:ptCount val="0"/>
              </c:strCache>
            </c:strRef>
          </c:cat>
          <c:val>
            <c:numRef>
              <c:f>'公司业绩全览'!$B$124:$B$130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毛利润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'公司业绩全览'!$A$124:$A$130</c:f>
              <c:strCache>
                <c:ptCount val="0"/>
              </c:strCache>
            </c:strRef>
          </c:cat>
          <c:val>
            <c:numRef>
              <c:f>'公司业绩全览'!$C$124:$C$130</c:f>
              <c:numCache>
                <c:formatCode>0.0</c:formatCode>
                <c:ptCount val="0"/>
              </c:numCache>
            </c:numRef>
          </c:val>
        </c:ser>
        <c:ser>
          <c:idx val="2"/>
          <c:order val="2"/>
          <c:tx>
            <c:v>归母净利润</c:v>
          </c:tx>
          <c:spPr>
            <a:solidFill xmlns:a="http://schemas.openxmlformats.org/drawingml/2006/main">
              <a:srgbClr val="67A4FF"/>
            </a:solidFill>
          </c:spPr>
          <c:cat>
            <c:strRef>
              <c:f>'公司业绩全览'!$A$124:$A$130</c:f>
              <c:strCache>
                <c:ptCount val="0"/>
              </c:strCache>
            </c:strRef>
          </c:cat>
          <c:val>
            <c:numRef>
              <c:f>'公司业绩全览'!$D$124:$D$130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报告期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亿元</a:t>
                </a:r>
              </a:p>
            </c:rich>
          </c:tx>
          <c:overlay val="0"/>
        </c:title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1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各报告期毛利率与净利率（%）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综合毛利率</c:v>
          </c:tx>
          <c:spPr>
            <a:solidFill xmlns:a="http://schemas.openxmlformats.org/drawingml/2006/main">
              <a:srgbClr val="1D4F83"/>
            </a:solidFill>
          </c:spPr>
          <c:cat>
            <c:strRef>
              <c:f>'公司业绩全览'!$A$124:$A$130</c:f>
              <c:strCache>
                <c:ptCount val="0"/>
              </c:strCache>
            </c:strRef>
          </c:cat>
          <c:val>
            <c:numRef>
              <c:f>'公司业绩全览'!$E$124:$E$130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净利率</c:v>
          </c:tx>
          <c:spPr>
            <a:solidFill xmlns:a="http://schemas.openxmlformats.org/drawingml/2006/main">
              <a:srgbClr val="0969F5"/>
            </a:solidFill>
          </c:spPr>
          <c:cat>
            <c:strRef>
              <c:f>'公司业绩全览'!$A$124:$A$130</c:f>
              <c:strCache>
                <c:ptCount val="0"/>
              </c:strCache>
            </c:strRef>
          </c:cat>
          <c:val>
            <c:numRef>
              <c:f>'公司业绩全览'!$F$124:$F$130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报告期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%</a:t>
                </a:r>
              </a:p>
            </c:rich>
          </c:tx>
          <c:overlay val="0"/>
        </c:title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15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aaad5076f448bc"/>
        </a:graphicData>
      </a:graphic>
    </xdr:graphicFrame>
    <xdr:clientData/>
  </xdr:twoCellAnchor>
  <xdr:twoCellAnchor>
    <xdr:from>
      <xdr:col>8</xdr:col>
      <xdr:colOff>0</xdr:colOff>
      <xdr:row>19</xdr:row>
      <xdr:rowOff>0</xdr:rowOff>
    </xdr:from>
    <xdr:to>
      <xdr:col>15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7982d192aac47c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13</xdr:col>
      <xdr:colOff>0</xdr:colOff>
      <xdr:row>9</xdr:row>
      <xdr:rowOff>0</xdr:rowOff>
    </xdr:from>
    <xdr:to>
      <xdr:col>20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cca6b161bd488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12</xdr:col>
      <xdr:colOff>0</xdr:colOff>
      <xdr:row>11</xdr:row>
      <xdr:rowOff>0</xdr:rowOff>
    </xdr:from>
    <xdr:to>
      <xdr:col>20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63fcd05c67548b7"/>
        </a:graphicData>
      </a:graphic>
    </xdr:graphicFrame>
    <xdr:clientData/>
  </xdr:twoCellAnchor>
  <xdr:twoCellAnchor>
    <xdr:from>
      <xdr:col>12</xdr:col>
      <xdr:colOff>0</xdr:colOff>
      <xdr:row>28</xdr:row>
      <xdr:rowOff>0</xdr:rowOff>
    </xdr:from>
    <xdr:to>
      <xdr:col>16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a6709fa4f64845"/>
        </a:graphicData>
      </a:graphic>
    </xdr:graphicFrame>
    <xdr:clientData/>
  </xdr:twoCellAnchor>
  <xdr:twoCellAnchor>
    <xdr:from>
      <xdr:col>16</xdr:col>
      <xdr:colOff>0</xdr:colOff>
      <xdr:row>28</xdr:row>
      <xdr:rowOff>0</xdr:rowOff>
    </xdr:from>
    <xdr:to>
      <xdr:col>20</xdr:col>
      <xdr:colOff>0</xdr:colOff>
      <xdr:row>44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6d0070272e24db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17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d60078f12ea46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8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c7053fd96a54c9a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17c37a1774481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06d44d6f1942cd"/>
        </a:graphicData>
      </a:graphic>
    </xdr:graphicFrame>
    <xdr:clientData/>
  </xdr:twoCellAnchor>
  <xdr:twoCellAnchor>
    <xdr:from>
      <xdr:col>8</xdr:col>
      <xdr:colOff>0</xdr:colOff>
      <xdr:row>19</xdr:row>
      <xdr:rowOff>0</xdr:rowOff>
    </xdr:from>
    <xdr:to>
      <xdr:col>16</xdr:col>
      <xdr:colOff>0</xdr:colOff>
      <xdr:row>34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f8fb9cc8ee4f7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6501487d8849eb"/>
        </a:graphicData>
      </a:graphic>
    </xdr:graphicFrame>
    <xdr:clientData/>
  </xdr:twoCellAnchor>
  <xdr:twoCellAnchor>
    <xdr:from>
      <xdr:col>9</xdr:col>
      <xdr:colOff>0</xdr:colOff>
      <xdr:row>3</xdr:row>
      <xdr:rowOff>0</xdr:rowOff>
    </xdr:from>
    <xdr:to>
      <xdr:col>16</xdr:col>
      <xdr:colOff>0</xdr:colOff>
      <xdr:row>21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3ee3441b124616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huaxinai" id="{4D60DEE2-C8E7-4B89-9549-D9D21C321FC9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43" dT="2026-09-04T01:14:29.958" personId="{4D60DEE2-C8E7-4B89-9549-D9D21C321FC9}" id="{719432BB-301D-4113-BD6F-9B4334B781C6}">
    <xltc:text>华鑫AI研究整理：审慎情形收入兑现率为研究假设，反映订单、交付、验收与产能良率爬坡。2026—2030年：80.0%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44" dT="2026-09-04T01:14:29.958" personId="{4D60DEE2-C8E7-4B89-9549-D9D21C321FC9}" id="{1B53DE6D-AD47-4956-B308-ED69211407EC}">
    <xltc:text>华鑫AI研究整理：审慎情形收入兑现率为研究假设，反映订单、交付、验收与产能良率爬坡。2026—2030年：80.0%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45" dT="2026-09-04T01:14:29.958" personId="{4D60DEE2-C8E7-4B89-9549-D9D21C321FC9}" id="{B2CA386D-9AB1-4AB3-9472-E4851F264797}">
    <xltc:text>华鑫AI研究整理：审慎情形收入兑现率为研究假设，反映订单、交付、验收与产能良率爬坡。2026—2030年：70.0% / 80.0% / 80.0% / 80.0% / 80.0%。公司份额已在理论收入中计入，不在此处重复扣减。</xltc:text>
  </xltc:threadedComment>
  <xltc:threadedComment ref="C46" dT="2026-09-04T01:14:29.958" personId="{4D60DEE2-C8E7-4B89-9549-D9D21C321FC9}" id="{2E99EB27-BA0C-4264-9705-B89FA161E0FB}">
    <xltc:text>华鑫AI研究整理：审慎情形收入兑现率为研究假设，反映订单、交付、验收与产能良率爬坡。2026—2030年：50.0%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47" dT="2026-09-04T01:14:29.958" personId="{4D60DEE2-C8E7-4B89-9549-D9D21C321FC9}" id="{4CE6533E-65BB-4A2E-8551-76F7958150FB}">
    <xltc:text>华鑫AI研究整理：审慎情形收入兑现率为研究假设，反映订单、交付、验收与产能良率爬坡。2026—2030年：50.0%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48" dT="2026-09-04T01:14:29.958" personId="{4D60DEE2-C8E7-4B89-9549-D9D21C321FC9}" id="{B320C9AE-0942-4084-A8A3-7BD47157619E}">
    <xltc:text>华鑫AI研究整理：审慎情形收入兑现率为研究假设，反映订单、交付、验收与产能良率爬坡。2026—2030年：50.0%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49" dT="2026-09-04T01:14:29.958" personId="{4D60DEE2-C8E7-4B89-9549-D9D21C321FC9}" id="{CB40B83E-7FD2-4BD8-A127-CA4AA124D5C3}">
    <xltc:text>华鑫AI研究整理：审慎情形收入兑现率为研究假设，反映订单、交付、验收与产能良率爬坡。2026—2030年：0.0% / 50.0% / 70.0% / 70.0% / 70.0%。公司份额已在理论收入中计入，不在此处重复扣减。</xltc:text>
  </xltc:threadedComment>
  <xltc:threadedComment ref="C50" dT="2026-09-04T01:14:29.958" personId="{4D60DEE2-C8E7-4B89-9549-D9D21C321FC9}" id="{63B4053D-87D6-41AF-9ED8-44D5ABDBC5D2}">
    <xltc:text>华鑫AI研究整理：基准情形收入兑现率为研究假设，反映订单、交付、验收与产能良率爬坡。2026—2030年：80.0%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51" dT="2026-09-04T01:14:29.959" personId="{4D60DEE2-C8E7-4B89-9549-D9D21C321FC9}" id="{E47FA8F4-A9BD-41AD-8ECB-6077C04BF45F}">
    <xltc:text>华鑫AI研究整理：基准情形收入兑现率为研究假设，反映订单、交付、验收与产能良率爬坡。2026—2030年：80.0%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52" dT="2026-09-04T01:14:29.959" personId="{4D60DEE2-C8E7-4B89-9549-D9D21C321FC9}" id="{694253A0-2A31-4B03-8F03-891127314535}">
    <xltc:text>华鑫AI研究整理：基准情形收入兑现率为研究假设，反映订单、交付、验收与产能良率爬坡。2026—2030年：70.0% / 80.0% / 80.0% / 80.0% / 80.0%。公司份额已在理论收入中计入，不在此处重复扣减。</xltc:text>
  </xltc:threadedComment>
  <xltc:threadedComment ref="C53" dT="2026-09-04T01:14:29.959" personId="{4D60DEE2-C8E7-4B89-9549-D9D21C321FC9}" id="{15AF89EA-237F-4024-894E-D64E1AA4CCEB}">
    <xltc:text>华鑫AI研究整理：基准情形收入兑现率为研究假设，反映订单、交付、验收与产能良率爬坡。2026—2030年：50.0%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54" dT="2026-09-04T01:14:29.959" personId="{4D60DEE2-C8E7-4B89-9549-D9D21C321FC9}" id="{ED8A2A08-A8E5-4F33-A750-A75BC961D2CF}">
    <xltc:text>华鑫AI研究整理：基准情形收入兑现率为研究假设，反映订单、交付、验收与产能良率爬坡。2026—2030年：50.0%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55" dT="2026-09-04T01:14:29.959" personId="{4D60DEE2-C8E7-4B89-9549-D9D21C321FC9}" id="{60668480-2205-4763-8827-3D4EF059FE0B}">
    <xltc:text>华鑫AI研究整理：基准情形收入兑现率为研究假设，反映订单、交付、验收与产能良率爬坡。2026—2030年：50.0%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56" dT="2026-09-04T01:14:29.959" personId="{4D60DEE2-C8E7-4B89-9549-D9D21C321FC9}" id="{D3A2B0C5-0ABE-4B6E-A016-65FD695D651E}">
    <xltc:text>华鑫AI研究整理：基准情形收入兑现率为研究假设，反映订单、交付、验收与产能良率爬坡。2026—2030年：0.0% / 50.0% / 70.0% / 70.0% / 70.0%。公司份额已在理论收入中计入，不在此处重复扣减。</xltc:text>
  </xltc:threadedComment>
  <xltc:threadedComment ref="C57" dT="2026-09-04T01:14:29.959" personId="{4D60DEE2-C8E7-4B89-9549-D9D21C321FC9}" id="{65247AE9-2C02-4462-AFB5-C25DAF9CDA71}">
    <xltc:text>华鑫AI研究整理：乐观情形收入兑现率为研究假设，反映订单、交付、验收与产能良率爬坡。2026—2030年：80.0%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58" dT="2026-09-04T01:14:29.959" personId="{4D60DEE2-C8E7-4B89-9549-D9D21C321FC9}" id="{B81C9A42-A867-4D7B-ACFD-1BEC6B53E1BB}">
    <xltc:text>华鑫AI研究整理：乐观情形收入兑现率为研究假设，反映订单、交付、验收与产能良率爬坡。2026—2030年：80.0% / 90.0% / 90.0% / 90.0% / 90.0%。公司份额已在理论收入中计入，不在此处重复扣减。</xltc:text>
  </xltc:threadedComment>
  <xltc:threadedComment ref="C59" dT="2026-09-04T01:14:29.959" personId="{4D60DEE2-C8E7-4B89-9549-D9D21C321FC9}" id="{73E22C5B-A4BF-4C7D-99F3-A627DC87E7B6}">
    <xltc:text>华鑫AI研究整理：乐观情形收入兑现率为研究假设，反映订单、交付、验收与产能良率爬坡。2026—2030年：70.0% / 80.0% / 80.0% / 80.0% / 80.0%。公司份额已在理论收入中计入，不在此处重复扣减。</xltc:text>
  </xltc:threadedComment>
  <xltc:threadedComment ref="C60" dT="2026-09-04T01:14:29.959" personId="{4D60DEE2-C8E7-4B89-9549-D9D21C321FC9}" id="{83361F9A-C313-473C-B80B-5093EFF8BD3F}">
    <xltc:text>华鑫AI研究整理：乐观情形收入兑现率为研究假设，反映订单、交付、验收与产能良率爬坡。2026—2030年：50.0%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61" dT="2026-09-04T01:14:29.959" personId="{4D60DEE2-C8E7-4B89-9549-D9D21C321FC9}" id="{A848057A-4975-447C-9AD9-CEE10ED24A2B}">
    <xltc:text>华鑫AI研究整理：乐观情形收入兑现率为研究假设，反映订单、交付、验收与产能良率爬坡。2026—2030年：50.0%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62" dT="2026-09-04T01:14:29.959" personId="{4D60DEE2-C8E7-4B89-9549-D9D21C321FC9}" id="{FD46A1B4-AFE4-489F-91B0-1990A2F72B77}">
    <xltc:text>华鑫AI研究整理：乐观情形收入兑现率为研究假设，反映订单、交付、验收与产能良率爬坡。2026—2030年：50.0% / 70.0% / 80.0% / 80.0% / 80.0%。公司份额已在理论收入中计入，不在此处重复扣减。</xltc:text>
  </xltc:threadedComment>
  <xltc:threadedComment ref="C63" dT="2026-09-04T01:14:29.959" personId="{4D60DEE2-C8E7-4B89-9549-D9D21C321FC9}" id="{D8820711-2672-4DF9-8E81-C5A0BD77163B}">
    <xltc:text>华鑫AI研究整理：乐观情形收入兑现率为研究假设，反映订单、交付、验收与产能良率爬坡。2026—2030年：0.0% / 50.0% / 70.0% / 70.0% / 70.0%。公司份额已在理论收入中计入，不在此处重复扣减。</xltc:text>
  </xltc:threadedComment>
  <xltc:threadedComment ref="E69" dT="2026-09-04T01:14:29.959" personId="{4D60DEE2-C8E7-4B89-9549-D9D21C321FC9}" id="{D4F3E623-5426-4FCA-9652-E958A0295289}">
    <xltc:text>华鑫AI研究预测，2026-09-04。随收入放量，销售、管理及研发费用率逐年摊薄，绝对费用仍增长；研发继续支持多工艺平台和高通道产品。该假设不等同公司指引。C69:G71均可编辑，自动联动三情景归母净利润与估值。</xltc:text>
  </xltc:threadedComment>
  <xltc:threadedComment ref="D80" dT="2026-09-04T01:14:29.961" personId="{4D60DEE2-C8E7-4B89-9549-D9D21C321FC9}" id="{7C2401F1-EF9F-4933-8998-4132BBA9F77E}">
    <xltc:text>华鑫AI研究预测：XR光学与感知项目爬坡、无创血糖光谱测量模组潜在工程导入带动增长；为研究预测，非已确认订单或终端医疗认证。 2027、2028年的增速为研究假设，不是公司业绩承诺。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ffef942b8a4423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c8410688df8a48f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be0218cadd4f47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c8acb418d0d2420a" /><Relationship Type="http://schemas.openxmlformats.org/officeDocument/2006/relationships/vmlDrawing" Target="/xl/drawings/vmldrawing.vml" Id="Rd724842c48244f8b" /><Relationship Type="http://schemas.microsoft.com/office/2017/10/relationships/threadedComment" Target="/xl/threadedcomments/threadedcomment.xml" Id="Re1996a80d52e4de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4.xml" Id="R4fd574e6c4db4d6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5.xml" Id="Rc837facce8924a5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6.xml" Id="R174e9bfad2d345c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172" t="str">
        <x:v>炬光科技深度研究与业绩模型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84"/>
    </x:row>
    <x:row r="2" ht="28" customHeight="1">
      <x:c r="A2" s="174" t="str">
        <x:v>版本 2026.09.04-r16｜光通信理论预估与合并报表分层建模｜单位：亿元，除非另有说明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</x:row>
    <x:row r="4" ht="42" customHeight="1">
      <x:c r="A4" s="185" t="str">
        <x:v>收入预测：七条产品线理论预估收入×各自收入兑现率，再与非光通信业务收入相加。公司份额只计一次，兑现率反映订单交付、验收、产能及良率爬坡。</x:v>
      </x:c>
      <x:c r="B4" s="185"/>
      <x:c r="C4" s="185"/>
      <x:c r="D4" s="185"/>
      <x:c r="E4" s="185"/>
      <x:c r="F4" s="185"/>
      <x:c r="G4" s="185"/>
      <x:c r="H4" s="185"/>
      <x:c r="I4" s="184"/>
      <x:c r="J4" s="184"/>
      <x:c r="K4" s="184"/>
      <x:c r="L4" s="184"/>
      <x:c r="M4" s="184"/>
    </x:row>
    <x:row r="5">
      <x:c r="A5" s="184"/>
      <x:c r="B5" s="184"/>
      <x:c r="C5" s="184"/>
      <x:c r="D5" s="184"/>
      <x:c r="E5" s="184"/>
      <x:c r="F5" s="184"/>
      <x:c r="G5" s="184"/>
      <x:c r="H5" s="184"/>
      <x:c r="I5" s="184"/>
      <x:c r="J5" s="184"/>
      <x:c r="K5" s="184"/>
      <x:c r="L5" s="184"/>
      <x:c r="M5" s="184"/>
    </x:row>
    <x:row r="6">
      <x:c r="A6" s="176" t="str">
        <x:v>2026H1实际</x:v>
      </x:c>
      <x:c r="B6" s="176" t="str">
        <x:v>数值</x:v>
      </x:c>
      <x:c r="C6" s="176" t="str">
        <x:v>同比/备注</x:v>
      </x:c>
      <x:c r="D6" s="176" t="str">
        <x:v>当前模型锚点</x:v>
      </x:c>
      <x:c r="E6" s="176" t="str">
        <x:v>数值</x:v>
      </x:c>
      <x:c r="F6" s="176" t="str">
        <x:v>单位</x:v>
      </x:c>
      <x:c r="G6" s="176" t="str">
        <x:v>状态</x:v>
      </x:c>
      <x:c r="H6" s="176" t="str">
        <x:v>口径</x:v>
      </x:c>
      <x:c r="I6" s="184"/>
      <x:c r="J6" s="184"/>
      <x:c r="K6" s="184"/>
      <x:c r="L6" s="184"/>
      <x:c r="M6" s="184"/>
    </x:row>
    <x:row r="7">
      <x:c r="A7" s="177" t="str">
        <x:v>营业收入</x:v>
      </x:c>
      <x:c r="B7" s="178" t="n">
        <x:v>4.185651</x:v>
      </x:c>
      <x:c r="C7" s="177" t="str">
        <x:v>+6.57%</x:v>
      </x:c>
      <x:c r="D7" s="177" t="str">
        <x:v>2028E行业组件空间</x:v>
      </x:c>
      <x:c r="E7" s="178" t="n">
        <x:f>'机会模型'!D24</x:f>
        <x:v>275.5141952</x:v>
      </x:c>
      <x:c r="F7" s="177" t="str">
        <x:v>亿元</x:v>
      </x:c>
      <x:c r="G7" s="177" t="str">
        <x:v>产品测算</x:v>
      </x:c>
      <x:c r="H7" s="177" t="str">
        <x:v>需求×用量×价格</x:v>
      </x:c>
      <x:c r="I7" s="184"/>
      <x:c r="J7" s="184"/>
      <x:c r="K7" s="184"/>
      <x:c r="L7" s="184"/>
      <x:c r="M7" s="184"/>
    </x:row>
    <x:row r="8">
      <x:c r="A8" s="177" t="str">
        <x:v>综合毛利率</x:v>
      </x:c>
      <x:c r="B8" s="179" t="n">
        <x:v>0.43337</x:v>
      </x:c>
      <x:c r="C8" s="177" t="str">
        <x:v>+10.95pct</x:v>
      </x:c>
      <x:c r="D8" s="177" t="str">
        <x:v>2028E理论预估收入</x:v>
      </x:c>
      <x:c r="E8" s="178" t="n">
        <x:f>'机会模型'!M12</x:f>
        <x:v>119.16886335999999</x:v>
      </x:c>
      <x:c r="F8" s="177" t="str">
        <x:v>亿元</x:v>
      </x:c>
      <x:c r="G8" s="177" t="str">
        <x:v>产品测算</x:v>
      </x:c>
      <x:c r="H8" s="177" t="str">
        <x:v>量价份额输出</x:v>
      </x:c>
      <x:c r="I8" s="184"/>
      <x:c r="J8" s="184"/>
      <x:c r="K8" s="184"/>
      <x:c r="L8" s="184"/>
      <x:c r="M8" s="184"/>
    </x:row>
    <x:row r="9">
      <x:c r="A9" s="177" t="str">
        <x:v>归母净利润</x:v>
      </x:c>
      <x:c r="B9" s="178" t="n">
        <x:v>-0.672288</x:v>
      </x:c>
      <x:c r="C9" s="177" t="str">
        <x:v>亏损扩大</x:v>
      </x:c>
      <x:c r="D9" s="177" t="str">
        <x:v>2028E理论预估净利</x:v>
      </x:c>
      <x:c r="E9" s="178" t="n">
        <x:f>'机会模型'!M13</x:f>
        <x:v>39.3257249088</x:v>
      </x:c>
      <x:c r="F9" s="177" t="str">
        <x:v>亿元</x:v>
      </x:c>
      <x:c r="G9" s="177" t="str">
        <x:v>产品口径</x:v>
      </x:c>
      <x:c r="H9" s="177" t="str">
        <x:v>33%净利率</x:v>
      </x:c>
      <x:c r="I9" s="184"/>
      <x:c r="J9" s="184"/>
      <x:c r="K9" s="184"/>
      <x:c r="L9" s="184"/>
      <x:c r="M9" s="184"/>
    </x:row>
    <x:row r="10">
      <x:c r="A10" s="177" t="str">
        <x:v>光通信收入</x:v>
      </x:c>
      <x:c r="B10" s="178" t="n">
        <x:v>0.668807</x:v>
      </x:c>
      <x:c r="C10" s="177" t="str">
        <x:v>+214.89%</x:v>
      </x:c>
      <x:c r="D10" s="177" t="str">
        <x:v>2028E合并收入</x:v>
      </x:c>
      <x:c r="E10" s="178" t="n">
        <x:f>'合并预测'!D14</x:f>
        <x:v>107.689760688</x:v>
      </x:c>
      <x:c r="F10" s="177" t="str">
        <x:v>亿元</x:v>
      </x:c>
      <x:c r="G10" s="177" t="str">
        <x:v>基准预测</x:v>
      </x:c>
      <x:c r="H10" s="177" t="str">
        <x:v>合并报表</x:v>
      </x:c>
      <x:c r="I10" s="184"/>
      <x:c r="J10" s="184"/>
      <x:c r="K10" s="184"/>
      <x:c r="L10" s="184"/>
      <x:c r="M10" s="184"/>
    </x:row>
    <x:row r="11">
      <x:c r="A11" s="177" t="str">
        <x:v>经营现金流</x:v>
      </x:c>
      <x:c r="B11" s="178" t="n">
        <x:v>0.295032</x:v>
      </x:c>
      <x:c r="C11" s="177" t="str">
        <x:v>+85.62%</x:v>
      </x:c>
      <x:c r="D11" s="177" t="str">
        <x:v>2028E归母净利</x:v>
      </x:c>
      <x:c r="E11" s="178" t="n">
        <x:f>'合并预测'!D30</x:f>
        <x:v>31.04018204382039</x:v>
      </x:c>
      <x:c r="F11" s="177" t="str">
        <x:v>亿元</x:v>
      </x:c>
      <x:c r="G11" s="177" t="str">
        <x:v>基准预测</x:v>
      </x:c>
      <x:c r="H11" s="177" t="str">
        <x:v>合并报表</x:v>
      </x:c>
      <x:c r="I11" s="184"/>
      <x:c r="J11" s="184"/>
      <x:c r="K11" s="184"/>
      <x:c r="L11" s="184"/>
      <x:c r="M11" s="184"/>
    </x:row>
    <x:row r="12">
      <x:c r="A12" s="184"/>
      <x:c r="B12" s="184"/>
      <x:c r="C12" s="184"/>
      <x:c r="D12" s="184"/>
      <x:c r="E12" s="184"/>
      <x:c r="F12" s="184"/>
      <x:c r="G12" s="184"/>
      <x:c r="H12" s="184"/>
      <x:c r="I12" s="184"/>
      <x:c r="J12" s="184"/>
      <x:c r="K12" s="184"/>
      <x:c r="L12" s="184"/>
      <x:c r="M12" s="184"/>
    </x:row>
    <x:row r="13">
      <x:c r="A13" s="186" t="str">
        <x:v>核心结论</x:v>
      </x:c>
      <x:c r="B13" s="186"/>
      <x:c r="C13" s="186"/>
      <x:c r="D13" s="186"/>
      <x:c r="E13" s="186"/>
      <x:c r="F13" s="186"/>
      <x:c r="G13" s="186"/>
      <x:c r="H13" s="186"/>
      <x:c r="I13" s="184"/>
      <x:c r="J13" s="184"/>
      <x:c r="K13" s="184"/>
      <x:c r="L13" s="184"/>
      <x:c r="M13" s="184"/>
    </x:row>
    <x:row r="14">
      <x:c r="A14" s="177" t="str">
        <x:v>1</x:v>
      </x:c>
      <x:c r="B14" s="177" t="str">
        <x:v>行业逻辑</x:v>
      </x:c>
      <x:c r="C14" s="177" t="str">
        <x:v>AI模型、长上下文与MoE把更多加速器拉入高带宽域，光通信由模块走向芯片级封装和晶圆级制造。</x:v>
      </x:c>
      <x:c r="D14" s="177"/>
      <x:c r="E14" s="177"/>
      <x:c r="F14" s="177"/>
      <x:c r="G14" s="177"/>
      <x:c r="H14" s="177"/>
      <x:c r="I14" s="184"/>
      <x:c r="J14" s="184"/>
      <x:c r="K14" s="184"/>
      <x:c r="L14" s="184"/>
      <x:c r="M14" s="184"/>
    </x:row>
    <x:row r="15">
      <x:c r="A15" s="177" t="str">
        <x:v>2</x:v>
      </x:c>
      <x:c r="B15" s="177" t="str">
        <x:v>技术价值</x:v>
      </x:c>
      <x:c r="C15" s="177" t="str">
        <x:v>NPO/CPO缩短芯片与光引擎的电连接，提升带宽密度和能效；OCS按任务重构物理光路，提高网络资源利用率。</x:v>
      </x:c>
      <x:c r="D15" s="177"/>
      <x:c r="E15" s="177"/>
      <x:c r="F15" s="177"/>
      <x:c r="G15" s="177"/>
      <x:c r="H15" s="177"/>
      <x:c r="I15" s="184"/>
      <x:c r="J15" s="184"/>
      <x:c r="K15" s="184"/>
      <x:c r="L15" s="184"/>
      <x:c r="M15" s="184"/>
    </x:row>
    <x:row r="16">
      <x:c r="A16" s="177" t="str">
        <x:v>3</x:v>
      </x:c>
      <x:c r="B16" s="177" t="str">
        <x:v>机会模型</x:v>
      </x:c>
      <x:c r="C16" s="177" t="str">
        <x:v>按产品需求量、有效价格与公司份额测算理论收入。OCS与CPO/NPO微光学器件量产后降价20%、此后年降10%；可插拔透镜年降10%，量测设备维持各情形初始价格。</x:v>
      </x:c>
      <x:c r="D16" s="177"/>
      <x:c r="E16" s="177"/>
      <x:c r="F16" s="177"/>
      <x:c r="G16" s="177"/>
      <x:c r="H16" s="177"/>
      <x:c r="I16" s="184"/>
      <x:c r="J16" s="184"/>
      <x:c r="K16" s="184"/>
      <x:c r="L16" s="184"/>
      <x:c r="M16" s="184"/>
    </x:row>
    <x:row r="17">
      <x:c r="A17" s="177" t="str">
        <x:v>4</x:v>
      </x:c>
      <x:c r="B17" s="177" t="str">
        <x:v>公司预测</x:v>
      </x:c>
      <x:c r="C17" s="177" t="str">
        <x:v>按产品交付阶段设定收入兑现率；2026—2030E营业收入11.31/39.99/107.69/184.96/256.11亿元，归母净利润0.82/8.45/31.04/56.53/81.91亿元。</x:v>
      </x:c>
      <x:c r="D17" s="177"/>
      <x:c r="E17" s="177"/>
      <x:c r="F17" s="177"/>
      <x:c r="G17" s="177"/>
      <x:c r="H17" s="177"/>
      <x:c r="I17" s="184"/>
      <x:c r="J17" s="184"/>
      <x:c r="K17" s="184"/>
      <x:c r="L17" s="184"/>
      <x:c r="M17" s="184"/>
    </x:row>
    <x:row r="18">
      <x:c r="A18" s="184"/>
      <x:c r="B18" s="184"/>
      <x:c r="C18" s="184"/>
      <x:c r="D18" s="184"/>
      <x:c r="E18" s="184"/>
      <x:c r="F18" s="184"/>
      <x:c r="G18" s="184"/>
      <x:c r="H18" s="184"/>
      <x:c r="I18" s="184"/>
      <x:c r="J18" s="184"/>
      <x:c r="K18" s="184"/>
      <x:c r="L18" s="184"/>
      <x:c r="M18" s="184"/>
    </x:row>
    <x:row r="19" ht="48" customHeight="1">
      <x:c r="A19" s="187" t="str">
        <x:v>工作表：财务实际／利润还原／研发与资产 → 行业趋势 → 机会输入／规格输入 → 规格明细／量价空间／机会模型 → 合并预测／公司业绩全览 → 估值模型／同业估值；光引擎参考单独测算；校验与公开资料附后。</x:v>
      </x:c>
      <x:c r="B19" s="187"/>
      <x:c r="C19" s="187"/>
      <x:c r="D19" s="187"/>
      <x:c r="E19" s="187"/>
      <x:c r="F19" s="187"/>
      <x:c r="G19" s="187"/>
      <x:c r="H19" s="187"/>
      <x:c r="I19" s="184"/>
      <x:c r="J19" s="184"/>
      <x:c r="K19" s="184"/>
      <x:c r="L19" s="184"/>
      <x:c r="M19" s="184"/>
    </x:row>
    <x:row r="20">
      <x:c r="A20" s="184"/>
      <x:c r="B20" s="184"/>
      <x:c r="C20" s="184"/>
      <x:c r="D20" s="184"/>
      <x:c r="E20" s="184"/>
      <x:c r="F20" s="184"/>
      <x:c r="G20" s="184"/>
      <x:c r="H20" s="184"/>
      <x:c r="I20" s="184"/>
      <x:c r="J20" s="184"/>
      <x:c r="K20" s="184"/>
      <x:c r="L20" s="184"/>
      <x:c r="M20" s="184"/>
    </x:row>
    <x:row r="21">
      <x:c r="A21" s="188" t="str">
        <x:v>仅用于研究，不构成投资建议。</x:v>
      </x:c>
      <x:c r="B21" s="188"/>
      <x:c r="C21" s="188"/>
      <x:c r="D21" s="188"/>
      <x:c r="E21" s="188"/>
      <x:c r="F21" s="188"/>
      <x:c r="G21" s="188"/>
      <x:c r="H21" s="188"/>
      <x:c r="I21" s="184"/>
      <x:c r="J21" s="184"/>
      <x:c r="K21" s="184"/>
      <x:c r="L21" s="184"/>
      <x:c r="M21" s="184"/>
    </x:row>
    <x:row r="22">
      <x:c r="A22" s="184"/>
      <x:c r="B22" s="184"/>
      <x:c r="C22" s="184"/>
      <x:c r="D22" s="184"/>
      <x:c r="E22" s="184"/>
      <x:c r="F22" s="184"/>
      <x:c r="G22" s="184"/>
      <x:c r="H22" s="184"/>
      <x:c r="I22" s="184"/>
      <x:c r="J22" s="184"/>
      <x:c r="K22" s="184"/>
      <x:c r="L22" s="184"/>
      <x:c r="M22" s="184"/>
    </x:row>
    <x:row r="23">
      <x:c r="A23" s="184"/>
      <x:c r="B23" s="184"/>
      <x:c r="C23" s="184"/>
      <x:c r="D23" s="184"/>
      <x:c r="E23" s="184"/>
      <x:c r="F23" s="184"/>
      <x:c r="G23" s="184"/>
      <x:c r="H23" s="184"/>
      <x:c r="I23" s="184"/>
      <x:c r="J23" s="184"/>
      <x:c r="K23" s="184"/>
      <x:c r="L23" s="184"/>
      <x:c r="M23" s="189" t="str">
        <x:v> </x:v>
      </x:c>
    </x:row>
  </x:sheetData>
  <x:mergeCells>
    <x:mergeCell ref="A1:L1"/>
    <x:mergeCell ref="A2:L2"/>
    <x:mergeCell ref="A4:H4"/>
    <x:mergeCell ref="A13:H13"/>
    <x:mergeCell ref="C14:H14"/>
    <x:mergeCell ref="C15:H15"/>
    <x:mergeCell ref="C16:H16"/>
    <x:mergeCell ref="C17:H17"/>
    <x:mergeCell ref="A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4" hidden="0" customWidth="1"/>
    <x:col min="7" max="7" width="30" hidden="0" customWidth="1"/>
    <x:col min="8" max="8" width="30" hidden="0" customWidth="1"/>
    <x:col min="9" max="9" width="15" hidden="0" customWidth="1"/>
    <x:col min="10" max="10" width="15" hidden="0" customWidth="1"/>
    <x:col min="11" max="11" width="42" hidden="0" customWidth="1"/>
  </x:cols>
  <x:sheetData>
    <x:row r="1" ht="32" customHeight="1">
      <x:c r="A1" s="172" t="str">
        <x:v>财务实际与2026H1业务结构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184"/>
    </x:row>
    <x:row r="2" ht="28" customHeight="1">
      <x:c r="A2" s="174" t="str">
        <x:v>历史实际使用A标识；2026H1为半年数据。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 s="184"/>
      <x:c r="P3" s="184"/>
    </x:row>
    <x:row r="4">
      <x:c r="A4" s="176" t="str">
        <x:v>期间</x:v>
      </x:c>
      <x:c r="B4" s="176" t="str">
        <x:v>营业收入</x:v>
      </x:c>
      <x:c r="C4" s="176" t="str">
        <x:v>毛利率</x:v>
      </x:c>
      <x:c r="D4" s="176" t="str">
        <x:v>归母净利润</x:v>
      </x:c>
      <x:c r="E4" s="176" t="str">
        <x:v>经营现金流</x:v>
      </x:c>
      <x:c r="F4" s="176" t="str">
        <x:v>期间属性</x:v>
      </x:c>
      <x:c r="G4" s="176" t="str">
        <x:v>来源</x:v>
      </x:c>
      <x:c r="H4" s="184"/>
      <x:c r="I4" s="184"/>
      <x:c r="J4" s="184"/>
      <x:c r="K4" s="184"/>
      <x:c r="L4" s="184"/>
      <x:c r="M4" s="184"/>
      <x:c r="N4" s="184"/>
      <x:c r="O4" s="184"/>
      <x:c r="P4" s="184"/>
    </x:row>
    <x:row r="5">
      <x:c r="A5" s="177" t="str">
        <x:v>2023A</x:v>
      </x:c>
      <x:c r="B5" s="178" t="n">
        <x:v>5.611731</x:v>
      </x:c>
      <x:c r="C5" s="179" t="n">
        <x:v>0.47959330612987083</x:v>
      </x:c>
      <x:c r="D5" s="178" t="n">
        <x:v>0.905461</x:v>
      </x:c>
      <x:c r="E5" s="178"/>
      <x:c r="F5" s="177" t="str">
        <x:v>年度</x:v>
      </x:c>
      <x:c r="G5" s="177" t="str">
        <x:v>年报</x:v>
      </x:c>
      <x:c r="H5" s="184"/>
      <x:c r="I5" s="184"/>
      <x:c r="J5" s="184"/>
      <x:c r="K5" s="184"/>
      <x:c r="L5" s="184"/>
      <x:c r="M5" s="184"/>
      <x:c r="N5" s="184"/>
      <x:c r="O5" s="184"/>
      <x:c r="P5" s="184"/>
    </x:row>
    <x:row r="6">
      <x:c r="A6" s="177" t="str">
        <x:v>2024A</x:v>
      </x:c>
      <x:c r="B6" s="178" t="n">
        <x:v>6.200194</x:v>
      </x:c>
      <x:c r="C6" s="179" t="n">
        <x:v>0.281077</x:v>
      </x:c>
      <x:c r="D6" s="178" t="n">
        <x:v>-1.749095</x:v>
      </x:c>
      <x:c r="E6" s="178"/>
      <x:c r="F6" s="177" t="str">
        <x:v>年度</x:v>
      </x:c>
      <x:c r="G6" s="177" t="str">
        <x:v>年报</x:v>
      </x:c>
      <x:c r="H6" s="184"/>
      <x:c r="I6" s="184"/>
      <x:c r="J6" s="184"/>
      <x:c r="K6" s="184"/>
      <x:c r="L6" s="184"/>
      <x:c r="M6" s="184"/>
      <x:c r="N6" s="184"/>
      <x:c r="O6" s="184"/>
      <x:c r="P6" s="184"/>
    </x:row>
    <x:row r="7">
      <x:c r="A7" s="177" t="str">
        <x:v>2025A</x:v>
      </x:c>
      <x:c r="B7" s="178" t="n">
        <x:v>8.799993</x:v>
      </x:c>
      <x:c r="C7" s="179" t="n">
        <x:v>0.357826</x:v>
      </x:c>
      <x:c r="D7" s="178" t="n">
        <x:v>-0.384096</x:v>
      </x:c>
      <x:c r="E7" s="178"/>
      <x:c r="F7" s="177" t="str">
        <x:v>年度</x:v>
      </x:c>
      <x:c r="G7" s="177" t="str">
        <x:v>年报</x:v>
      </x:c>
      <x:c r="H7" s="184"/>
      <x:c r="I7" s="184"/>
      <x:c r="J7" s="184"/>
      <x:c r="K7" s="184"/>
      <x:c r="L7" s="184"/>
      <x:c r="M7" s="184"/>
      <x:c r="N7" s="184"/>
      <x:c r="O7" s="184"/>
      <x:c r="P7" s="184"/>
    </x:row>
    <x:row r="8">
      <x:c r="A8" s="177" t="str">
        <x:v>2026H1A</x:v>
      </x:c>
      <x:c r="B8" s="178" t="n">
        <x:v>4.185651</x:v>
      </x:c>
      <x:c r="C8" s="179" t="n">
        <x:v>0.43337</x:v>
      </x:c>
      <x:c r="D8" s="178" t="n">
        <x:v>-0.672288</x:v>
      </x:c>
      <x:c r="E8" s="178" t="n">
        <x:v>0.295032</x:v>
      </x:c>
      <x:c r="F8" s="177" t="str">
        <x:v>半年度</x:v>
      </x:c>
      <x:c r="G8" s="177" t="str">
        <x:v>半年报</x:v>
      </x:c>
      <x:c r="H8" s="184"/>
      <x:c r="I8" s="184"/>
      <x:c r="J8" s="184"/>
      <x:c r="K8" s="184"/>
      <x:c r="L8" s="184"/>
      <x:c r="M8" s="184"/>
      <x:c r="N8" s="184"/>
      <x:c r="O8" s="184"/>
      <x:c r="P8" s="184"/>
    </x:row>
    <x:row r="9">
      <x:c r="A9" s="184"/>
      <x:c r="B9" s="184"/>
      <x:c r="C9" s="184"/>
      <x:c r="D9" s="184"/>
      <x:c r="E9" s="184"/>
      <x:c r="F9" s="184"/>
      <x:c r="G9" s="184"/>
      <x:c r="H9" s="184"/>
      <x:c r="I9" s="184"/>
      <x:c r="J9" s="184"/>
      <x:c r="K9" s="184"/>
      <x:c r="L9" s="184"/>
      <x:c r="M9" s="184"/>
      <x:c r="N9" s="184"/>
      <x:c r="O9" s="184"/>
      <x:c r="P9" s="184"/>
    </x:row>
    <x:row r="10">
      <x:c r="A10" s="176" t="str">
        <x:v>2026H1应用</x:v>
      </x:c>
      <x:c r="B10" s="176" t="str">
        <x:v>主营收入</x:v>
      </x:c>
      <x:c r="C10" s="176" t="str">
        <x:v>同比</x:v>
      </x:c>
      <x:c r="D10" s="176" t="str">
        <x:v>口径</x:v>
      </x:c>
      <x:c r="E10" s="184"/>
      <x:c r="F10" s="176" t="str">
        <x:v>H1利润桥</x:v>
      </x:c>
      <x:c r="G10" s="176" t="str">
        <x:v>金额</x:v>
      </x:c>
      <x:c r="H10" s="176" t="str">
        <x:v>说明</x:v>
      </x:c>
      <x:c r="I10" s="184"/>
      <x:c r="J10" s="184"/>
      <x:c r="K10" s="184"/>
      <x:c r="L10" s="184"/>
      <x:c r="M10" s="184"/>
      <x:c r="N10" s="184"/>
      <x:c r="O10" s="184"/>
      <x:c r="P10" s="184"/>
    </x:row>
    <x:row r="11">
      <x:c r="A11" s="177" t="str">
        <x:v>泛半导体</x:v>
      </x:c>
      <x:c r="B11" s="178" t="n">
        <x:v>1.109107</x:v>
      </x:c>
      <x:c r="C11" s="179" t="n">
        <x:v>0.1804</x:v>
      </x:c>
      <x:c r="D11" s="177" t="str">
        <x:v>主营</x:v>
      </x:c>
      <x:c r="E11" s="184"/>
      <x:c r="F11" s="177" t="str">
        <x:v>资产减值</x:v>
      </x:c>
      <x:c r="G11" s="178" t="n">
        <x:v>-0.663811</x:v>
      </x:c>
      <x:c r="H11" s="177" t="str">
        <x:v>汽车商誉0.310016＋存货0.353796</x:v>
      </x:c>
      <x:c r="I11" s="184"/>
      <x:c r="J11" s="184"/>
      <x:c r="K11" s="184"/>
      <x:c r="L11" s="184"/>
      <x:c r="M11" s="184"/>
      <x:c r="N11" s="184"/>
      <x:c r="O11" s="184"/>
      <x:c r="P11" s="184"/>
    </x:row>
    <x:row r="12">
      <x:c r="A12" s="177" t="str">
        <x:v>工业</x:v>
      </x:c>
      <x:c r="B12" s="178" t="n">
        <x:v>1.065113</x:v>
      </x:c>
      <x:c r="C12" s="179" t="n">
        <x:v>-0.1665</x:v>
      </x:c>
      <x:c r="D12" s="177" t="str">
        <x:v>主营</x:v>
      </x:c>
      <x:c r="E12" s="184"/>
      <x:c r="F12" s="177" t="str">
        <x:v>股份支付</x:v>
      </x:c>
      <x:c r="G12" s="178" t="n">
        <x:v>-0.370824</x:v>
      </x:c>
      <x:c r="H12" s="177" t="str">
        <x:v>同比增加0.188574</x:v>
      </x:c>
      <x:c r="I12" s="184"/>
      <x:c r="J12" s="184"/>
      <x:c r="K12" s="184"/>
      <x:c r="L12" s="184"/>
      <x:c r="M12" s="184"/>
      <x:c r="N12" s="184"/>
      <x:c r="O12" s="184"/>
      <x:c r="P12" s="184"/>
    </x:row>
    <x:row r="13">
      <x:c r="A13" s="177" t="str">
        <x:v>光通信</x:v>
      </x:c>
      <x:c r="B13" s="178" t="n">
        <x:v>0.668807</x:v>
      </x:c>
      <x:c r="C13" s="179" t="n">
        <x:v>2.1489</x:v>
      </x:c>
      <x:c r="D13" s="177" t="str">
        <x:v>主营</x:v>
      </x:c>
      <x:c r="E13" s="184"/>
      <x:c r="F13" s="177" t="str">
        <x:v>财务费用</x:v>
      </x:c>
      <x:c r="G13" s="178" t="n">
        <x:v>-0.084564</x:v>
      </x:c>
      <x:c r="H13" s="177" t="str">
        <x:v>上年同期-0.156848</x:v>
      </x:c>
      <x:c r="I13" s="184"/>
      <x:c r="J13" s="184"/>
      <x:c r="K13" s="184"/>
      <x:c r="L13" s="184"/>
      <x:c r="M13" s="184"/>
      <x:c r="N13" s="184"/>
      <x:c r="O13" s="184"/>
      <x:c r="P13" s="184"/>
    </x:row>
    <x:row r="14">
      <x:c r="A14" s="177" t="str">
        <x:v>汽车</x:v>
      </x:c>
      <x:c r="B14" s="178" t="n">
        <x:v>0.558618</x:v>
      </x:c>
      <x:c r="C14" s="179" t="n">
        <x:v>-0.1888</x:v>
      </x:c>
      <x:c r="D14" s="177" t="str">
        <x:v>主营</x:v>
      </x:c>
      <x:c r="E14" s="184"/>
      <x:c r="F14" s="177" t="str">
        <x:v>经营现金流</x:v>
      </x:c>
      <x:c r="G14" s="178" t="n">
        <x:v>0.295032</x:v>
      </x:c>
      <x:c r="H14" s="177" t="str">
        <x:v>同比+85.62%</x:v>
      </x:c>
      <x:c r="I14" s="184"/>
      <x:c r="J14" s="184"/>
      <x:c r="K14" s="184"/>
      <x:c r="L14" s="184"/>
      <x:c r="M14" s="184"/>
      <x:c r="N14" s="184"/>
      <x:c r="O14" s="184"/>
      <x:c r="P14" s="184"/>
    </x:row>
    <x:row r="15">
      <x:c r="A15" s="177" t="str">
        <x:v>医疗</x:v>
      </x:c>
      <x:c r="B15" s="178" t="n">
        <x:v>0.444319</x:v>
      </x:c>
      <x:c r="C15" s="179" t="n">
        <x:v>-0.1107</x:v>
      </x:c>
      <x:c r="D15" s="177" t="str">
        <x:v>主营</x:v>
      </x:c>
      <x:c r="E15" s="184"/>
      <x:c r="F15" s="177" t="str">
        <x:v>归母净利润</x:v>
      </x:c>
      <x:c r="G15" s="178" t="n">
        <x:v>-0.672288</x:v>
      </x:c>
      <x:c r="H15" s="177" t="str">
        <x:v>利润拐点尚未验证</x:v>
      </x:c>
      <x:c r="I15" s="184"/>
      <x:c r="J15" s="184"/>
      <x:c r="K15" s="184"/>
      <x:c r="L15" s="184"/>
      <x:c r="M15" s="184"/>
      <x:c r="N15" s="184"/>
      <x:c r="O15" s="184"/>
      <x:c r="P15" s="184"/>
    </x:row>
    <x:row r="16">
      <x:c r="A16" s="177" t="str">
        <x:v>消费电子</x:v>
      </x:c>
      <x:c r="B16" s="178" t="n">
        <x:v>0.289063</x:v>
      </x:c>
      <x:c r="C16" s="179" t="n">
        <x:v>0.6478</x:v>
      </x:c>
      <x:c r="D16" s="177" t="str">
        <x:v>主营</x:v>
      </x:c>
      <x:c r="E16" s="184"/>
      <x:c r="F16" s="184"/>
      <x:c r="G16" s="184"/>
      <x:c r="H16" s="184"/>
      <x:c r="I16" s="184"/>
      <x:c r="J16" s="184"/>
      <x:c r="K16" s="184"/>
      <x:c r="L16" s="184"/>
      <x:c r="M16" s="184"/>
      <x:c r="N16" s="184"/>
      <x:c r="O16" s="184"/>
      <x:c r="P16" s="184"/>
    </x:row>
    <x:row r="17">
      <x:c r="A17" s="177" t="str">
        <x:v>科研及其他</x:v>
      </x:c>
      <x:c r="B17" s="178" t="n">
        <x:v>0.014384</x:v>
      </x:c>
      <x:c r="C17" s="179"/>
      <x:c r="D17" s="177" t="str">
        <x:v>主营</x:v>
      </x:c>
      <x:c r="E17" s="184"/>
      <x:c r="F17" s="184"/>
      <x:c r="G17" s="184"/>
      <x:c r="H17" s="184"/>
      <x:c r="I17" s="184"/>
      <x:c r="J17" s="184"/>
      <x:c r="K17" s="184"/>
      <x:c r="L17" s="184"/>
      <x:c r="M17" s="184"/>
      <x:c r="N17" s="184"/>
      <x:c r="O17" s="184"/>
      <x:c r="P17" s="184"/>
    </x:row>
    <x:row r="18">
      <x:c r="A18" s="177" t="str">
        <x:v>主营业务合计</x:v>
      </x:c>
      <x:c r="B18" s="177" t="n">
        <x:f>SUM(B11:B17)</x:f>
        <x:v>4.149411</x:v>
      </x:c>
      <x:c r="C18" s="177"/>
      <x:c r="D18" s="177" t="str">
        <x:v>分应用加总</x:v>
      </x:c>
      <x:c r="E18" s="184"/>
      <x:c r="F18" s="184"/>
      <x:c r="G18" s="184"/>
      <x:c r="H18" s="184"/>
      <x:c r="I18" s="184"/>
      <x:c r="J18" s="184"/>
      <x:c r="K18" s="184"/>
      <x:c r="L18" s="184"/>
      <x:c r="M18" s="184"/>
      <x:c r="N18" s="184"/>
      <x:c r="O18" s="184"/>
      <x:c r="P18" s="184"/>
    </x:row>
    <x:row r="19">
      <x:c r="A19" s="177" t="str">
        <x:v>其他业务</x:v>
      </x:c>
      <x:c r="B19" s="177" t="n">
        <x:f>B8-B18</x:f>
        <x:v>0.03624000000000027</x:v>
      </x:c>
      <x:c r="C19" s="177"/>
      <x:c r="D19" s="177" t="str">
        <x:v>总收入减主营</x:v>
      </x:c>
      <x:c r="E19" s="184"/>
      <x:c r="F19" s="184"/>
      <x:c r="G19" s="184"/>
      <x:c r="H19" s="184"/>
      <x:c r="I19" s="184"/>
      <x:c r="J19" s="184"/>
      <x:c r="K19" s="184"/>
      <x:c r="L19" s="184"/>
      <x:c r="M19" s="184"/>
      <x:c r="N19" s="184"/>
      <x:c r="O19" s="184"/>
      <x:c r="P19" s="184"/>
    </x:row>
    <x:row r="20">
      <x:c r="A20" s="184"/>
      <x:c r="B20" s="184"/>
      <x:c r="C20" s="184"/>
      <x:c r="D20" s="184"/>
      <x:c r="E20" s="184"/>
      <x:c r="F20" s="184"/>
      <x:c r="G20" s="184"/>
      <x:c r="H20" s="184"/>
      <x:c r="I20" s="184"/>
      <x:c r="J20" s="184"/>
      <x:c r="K20" s="184"/>
      <x:c r="L20" s="184"/>
      <x:c r="M20" s="184"/>
      <x:c r="N20" s="184"/>
      <x:c r="O20" s="184"/>
      <x:c r="P20" s="184"/>
    </x:row>
    <x:row r="21">
      <x:c r="A21" s="176" t="str">
        <x:v>季度</x:v>
      </x:c>
      <x:c r="B21" s="176" t="str">
        <x:v>光通信收入（亿元）</x:v>
      </x:c>
      <x:c r="C21" s="176" t="str">
        <x:v>环比</x:v>
      </x:c>
      <x:c r="D21" s="176" t="str">
        <x:v>收入占比</x:v>
      </x:c>
      <x:c r="E21" s="176" t="str">
        <x:v>同比</x:v>
      </x:c>
      <x:c r="F21" s="176" t="str">
        <x:v>口径说明</x:v>
      </x:c>
      <x:c r="G21" s="184"/>
      <x:c r="H21" s="184"/>
      <x:c r="I21" s="184"/>
      <x:c r="J21" s="184"/>
      <x:c r="K21" s="184"/>
      <x:c r="L21" s="184"/>
      <x:c r="M21" s="184"/>
      <x:c r="N21" s="184"/>
      <x:c r="O21" s="184"/>
      <x:c r="P21" s="184"/>
    </x:row>
    <x:row r="22">
      <x:c r="A22" s="177" t="str">
        <x:v>2025Q1</x:v>
      </x:c>
      <x:c r="B22" s="178" t="n">
        <x:v>0.102</x:v>
      </x:c>
      <x:c r="C22" s="190"/>
      <x:c r="D22" s="190" t="n">
        <x:v>0.0602</x:v>
      </x:c>
      <x:c r="E22" s="190"/>
      <x:c r="F22" s="177" t="str">
        <x:v>公司季度经营资料；占比按合并收入精算</x:v>
      </x:c>
      <x:c r="G22" s="184"/>
      <x:c r="H22" s="184"/>
      <x:c r="I22" s="184"/>
      <x:c r="J22" s="184"/>
      <x:c r="K22" s="184"/>
      <x:c r="L22" s="184"/>
      <x:c r="M22" s="184"/>
      <x:c r="N22" s="184"/>
      <x:c r="O22" s="184"/>
      <x:c r="P22" s="184"/>
    </x:row>
    <x:row r="23">
      <x:c r="A23" s="177" t="str">
        <x:v>2025Q2</x:v>
      </x:c>
      <x:c r="B23" s="178" t="n">
        <x:v>0.1104</x:v>
      </x:c>
      <x:c r="C23" s="190" t="n">
        <x:v>0.08235294</x:v>
      </x:c>
      <x:c r="D23" s="190" t="n">
        <x:v>0.0495</x:v>
      </x:c>
      <x:c r="E23" s="190"/>
      <x:c r="F23" s="177" t="str">
        <x:v>2024单季光通信口径未披露</x:v>
      </x:c>
      <x:c r="G23" s="184"/>
      <x:c r="H23" s="184"/>
      <x:c r="I23" s="184"/>
      <x:c r="J23" s="184"/>
      <x:c r="K23" s="184"/>
      <x:c r="L23" s="184"/>
      <x:c r="M23" s="184"/>
      <x:c r="N23" s="184"/>
      <x:c r="O23" s="184"/>
      <x:c r="P23" s="184"/>
    </x:row>
    <x:row r="24">
      <x:c r="A24" s="177" t="str">
        <x:v>2025Q3</x:v>
      </x:c>
      <x:c r="B24" s="178" t="n">
        <x:v>0.1854</x:v>
      </x:c>
      <x:c r="C24" s="190" t="n">
        <x:v>0.67934783</x:v>
      </x:c>
      <x:c r="D24" s="190" t="n">
        <x:v>0.084</x:v>
      </x:c>
      <x:c r="E24" s="190"/>
      <x:c r="F24" s="177" t="str">
        <x:v>公司季度经营资料；占比按合并收入精算</x:v>
      </x:c>
      <x:c r="G24" s="184"/>
      <x:c r="H24" s="184"/>
      <x:c r="I24" s="184"/>
      <x:c r="J24" s="184"/>
      <x:c r="K24" s="184"/>
      <x:c r="L24" s="184"/>
      <x:c r="M24" s="184"/>
      <x:c r="N24" s="184"/>
      <x:c r="O24" s="184"/>
      <x:c r="P24" s="189" t="str">
        <x:v> </x:v>
      </x:c>
    </x:row>
    <x:row r="25">
      <x:c r="A25" s="177" t="str">
        <x:v>2025Q4</x:v>
      </x:c>
      <x:c r="B25" s="178" t="n">
        <x:v>0.2625</x:v>
      </x:c>
      <x:c r="C25" s="190" t="n">
        <x:v>0.41585761</x:v>
      </x:c>
      <x:c r="D25" s="190" t="n">
        <x:v>0.0984</x:v>
      </x:c>
      <x:c r="E25" s="190"/>
      <x:c r="F25" s="177" t="str">
        <x:v>公司季度经营资料；占比按合并收入精算</x:v>
      </x:c>
      <x:c r="G25" s="184"/>
      <x:c r="H25" s="184"/>
      <x:c r="I25" s="184"/>
      <x:c r="J25" s="184"/>
      <x:c r="K25" s="184"/>
      <x:c r="L25" s="184"/>
      <x:c r="M25" s="184"/>
      <x:c r="N25" s="184"/>
      <x:c r="O25" s="184"/>
      <x:c r="P25" s="184"/>
    </x:row>
    <x:row r="26">
      <x:c r="A26" s="177" t="str">
        <x:v>2026Q1</x:v>
      </x:c>
      <x:c r="B26" s="178" t="n">
        <x:v>0.3244</x:v>
      </x:c>
      <x:c r="C26" s="190" t="n">
        <x:v>0.23580952</x:v>
      </x:c>
      <x:c r="D26" s="190" t="n">
        <x:v>0.1579</x:v>
      </x:c>
      <x:c r="E26" s="190" t="n">
        <x:v>2.18</x:v>
      </x:c>
      <x:c r="F26" s="177" t="str">
        <x:v>季度报告＋公司经营资料</x:v>
      </x:c>
      <x:c r="G26" s="184"/>
      <x:c r="H26" s="184"/>
      <x:c r="I26" s="184"/>
      <x:c r="J26" s="184"/>
      <x:c r="K26" s="184"/>
      <x:c r="L26" s="184"/>
      <x:c r="M26" s="184"/>
      <x:c r="N26" s="184"/>
      <x:c r="O26" s="184"/>
      <x:c r="P26" s="184"/>
    </x:row>
    <x:row r="27">
      <x:c r="A27" s="177" t="str">
        <x:v>2026Q2</x:v>
      </x:c>
      <x:c r="B27" s="178" t="n">
        <x:v>0.344407</x:v>
      </x:c>
      <x:c r="C27" s="190" t="n">
        <x:v>0.06167386</x:v>
      </x:c>
      <x:c r="D27" s="190" t="n">
        <x:v>0.1616</x:v>
      </x:c>
      <x:c r="E27" s="190" t="n">
        <x:v>2.12</x:v>
      </x:c>
      <x:c r="F27" s="177" t="str">
        <x:v>由2026H1减Q1推导；H1同比+214.89%</x:v>
      </x:c>
      <x:c r="G27" s="184"/>
      <x:c r="H27" s="184"/>
      <x:c r="I27" s="184"/>
      <x:c r="J27" s="184"/>
      <x:c r="K27" s="184"/>
      <x:c r="L27" s="184"/>
      <x:c r="M27" s="184"/>
      <x:c r="N27" s="184"/>
      <x:c r="O27" s="184"/>
      <x:c r="P27" s="184"/>
    </x:row>
    <x:row r="28">
      <x:c r="A28" s="184"/>
      <x:c r="B28" s="184"/>
      <x:c r="C28" s="184"/>
      <x:c r="D28" s="184"/>
      <x:c r="E28" s="184"/>
      <x:c r="F28" s="184"/>
      <x:c r="G28" s="184"/>
      <x:c r="H28" s="184"/>
      <x:c r="I28" s="184"/>
      <x:c r="J28" s="184"/>
      <x:c r="K28" s="184"/>
      <x:c r="L28" s="184"/>
      <x:c r="M28" s="184"/>
      <x:c r="N28" s="184"/>
      <x:c r="O28" s="184"/>
      <x:c r="P28" s="184"/>
    </x:row>
    <x:row r="29">
      <x:c r="A29" s="184"/>
      <x:c r="B29" s="184"/>
      <x:c r="C29" s="184"/>
      <x:c r="D29" s="184"/>
      <x:c r="E29" s="184"/>
      <x:c r="F29" s="184"/>
      <x:c r="G29" s="184"/>
      <x:c r="H29" s="184"/>
      <x:c r="I29" s="184"/>
      <x:c r="J29" s="184"/>
      <x:c r="K29" s="184"/>
      <x:c r="L29" s="184"/>
      <x:c r="M29" s="184"/>
      <x:c r="N29" s="184"/>
      <x:c r="O29" s="184"/>
      <x:c r="P29" s="184"/>
    </x:row>
    <x:row r="30">
      <x:c r="A30" s="184"/>
      <x:c r="B30" s="184"/>
      <x:c r="C30" s="184"/>
      <x:c r="D30" s="184"/>
      <x:c r="E30" s="184"/>
      <x:c r="F30" s="184"/>
      <x:c r="G30" s="184"/>
      <x:c r="H30" s="184"/>
      <x:c r="I30" s="184"/>
      <x:c r="J30" s="184"/>
      <x:c r="K30" s="184"/>
      <x:c r="L30" s="184"/>
      <x:c r="M30" s="184"/>
      <x:c r="N30" s="184"/>
      <x:c r="O30" s="184"/>
      <x:c r="P30" s="184"/>
    </x:row>
    <x:row r="31">
      <x:c r="A31" s="184"/>
      <x:c r="B31" s="184"/>
      <x:c r="C31" s="184"/>
      <x:c r="D31" s="184"/>
      <x:c r="E31" s="184"/>
      <x:c r="F31" s="184"/>
      <x:c r="G31" s="184"/>
      <x:c r="H31" s="184"/>
      <x:c r="I31" s="184"/>
      <x:c r="J31" s="184"/>
      <x:c r="K31" s="184"/>
      <x:c r="L31" s="184"/>
      <x:c r="M31" s="184"/>
      <x:c r="N31" s="184"/>
      <x:c r="O31" s="184"/>
      <x:c r="P31" s="184"/>
    </x:row>
    <x:row r="32">
      <x:c r="A32" s="184"/>
      <x:c r="B32" s="184"/>
      <x:c r="C32" s="184"/>
      <x:c r="D32" s="184"/>
      <x:c r="E32" s="184"/>
      <x:c r="F32" s="184"/>
      <x:c r="G32" s="184"/>
      <x:c r="H32" s="184"/>
      <x:c r="I32" s="184"/>
      <x:c r="J32" s="184"/>
      <x:c r="K32" s="184"/>
      <x:c r="L32" s="184"/>
      <x:c r="M32" s="184"/>
      <x:c r="N32" s="184"/>
      <x:c r="O32" s="184"/>
      <x:c r="P32" s="184"/>
    </x:row>
    <x:row r="33">
      <x:c r="A33" s="184"/>
      <x:c r="B33" s="184"/>
      <x:c r="C33" s="184"/>
      <x:c r="D33" s="184"/>
      <x:c r="E33" s="184"/>
      <x:c r="F33" s="184"/>
      <x:c r="G33" s="184"/>
      <x:c r="H33" s="184"/>
      <x:c r="I33" s="184"/>
      <x:c r="J33" s="184"/>
      <x:c r="K33" s="184"/>
      <x:c r="L33" s="184"/>
      <x:c r="M33" s="184"/>
      <x:c r="N33" s="184"/>
      <x:c r="O33" s="184"/>
      <x:c r="P33" s="184"/>
    </x:row>
    <x:row r="34">
      <x:c r="A34" s="184"/>
      <x:c r="B34" s="184"/>
      <x:c r="C34" s="184"/>
      <x:c r="D34" s="184"/>
      <x:c r="E34" s="184"/>
      <x:c r="F34" s="184"/>
      <x:c r="G34" s="184"/>
      <x:c r="H34" s="184"/>
      <x:c r="I34" s="184"/>
      <x:c r="J34" s="184"/>
      <x:c r="K34" s="184"/>
      <x:c r="L34" s="184"/>
      <x:c r="M34" s="184"/>
      <x:c r="N34" s="184"/>
      <x:c r="O34" s="184"/>
      <x:c r="P34" s="184"/>
    </x:row>
    <x:row r="35">
      <x:c r="A35" s="184"/>
      <x:c r="B35" s="184"/>
      <x:c r="C35" s="184"/>
      <x:c r="D35" s="184"/>
      <x:c r="E35" s="184"/>
      <x:c r="F35" s="184"/>
      <x:c r="G35" s="184"/>
      <x:c r="H35" s="184"/>
      <x:c r="I35" s="184"/>
      <x:c r="J35" s="184"/>
      <x:c r="K35" s="184"/>
      <x:c r="L35" s="184"/>
      <x:c r="M35" s="184"/>
      <x:c r="N35" s="184"/>
      <x:c r="O35" s="184"/>
      <x:c r="P35" s="184"/>
    </x:row>
    <x:row r="36">
      <x:c r="A36" s="184"/>
      <x:c r="B36" s="184"/>
      <x:c r="C36" s="184"/>
      <x:c r="D36" s="184"/>
      <x:c r="E36" s="184"/>
      <x:c r="F36" s="184"/>
      <x:c r="G36" s="184"/>
      <x:c r="H36" s="184"/>
      <x:c r="I36" s="184"/>
      <x:c r="J36" s="184"/>
      <x:c r="K36" s="184"/>
      <x:c r="L36" s="184"/>
      <x:c r="M36" s="184"/>
      <x:c r="N36" s="184"/>
      <x:c r="O36" s="184"/>
      <x:c r="P36" s="184"/>
    </x:row>
    <x:row r="37">
      <x:c r="A37" s="176" t="str">
        <x:v>历史产品口径毛利率｜公司财报披露，作为应用分部预测的约束锚点</x:v>
      </x:c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84"/>
      <x:c r="M37" s="184"/>
      <x:c r="N37" s="184"/>
      <x:c r="O37" s="184"/>
      <x:c r="P37" s="184"/>
    </x:row>
    <x:row r="38">
      <x:c r="A38" s="176" t="str">
        <x:v>产品口径</x:v>
      </x:c>
      <x:c r="B38" s="176" t="str">
        <x:v>2023A收入</x:v>
      </x:c>
      <x:c r="C38" s="176" t="str">
        <x:v>2023A成本</x:v>
      </x:c>
      <x:c r="D38" s="176" t="str">
        <x:v>2023A毛利率</x:v>
      </x:c>
      <x:c r="E38" s="176" t="str">
        <x:v>2024A收入</x:v>
      </x:c>
      <x:c r="F38" s="176" t="str">
        <x:v>2024A成本</x:v>
      </x:c>
      <x:c r="G38" s="176" t="str">
        <x:v>2024A毛利率</x:v>
      </x:c>
      <x:c r="H38" s="176" t="str">
        <x:v>2025A收入</x:v>
      </x:c>
      <x:c r="I38" s="176" t="str">
        <x:v>2025A成本</x:v>
      </x:c>
      <x:c r="J38" s="176" t="str">
        <x:v>2025A毛利率</x:v>
      </x:c>
      <x:c r="K38" s="176" t="str">
        <x:v>预测映射说明</x:v>
      </x:c>
      <x:c r="L38" s="184"/>
      <x:c r="M38" s="184"/>
      <x:c r="N38" s="184"/>
      <x:c r="O38" s="184"/>
      <x:c r="P38" s="184"/>
    </x:row>
    <x:row r="39">
      <x:c r="A39" s="177" t="str">
        <x:v>半导体激光元器件和原材料</x:v>
      </x:c>
      <x:c r="B39" s="178" t="n">
        <x:v>2.2871270767</x:v>
      </x:c>
      <x:c r="C39" s="178" t="n">
        <x:v>1.3198943521</x:v>
      </x:c>
      <x:c r="D39" s="179" t="n">
        <x:f>IF(B39=0,0,(B39-C39)/B39)</x:f>
        <x:v>0.4229029223839979</x:v>
      </x:c>
      <x:c r="E39" s="178" t="n">
        <x:v>1.4999886084</x:v>
      </x:c>
      <x:c r="F39" s="178" t="n">
        <x:v>0.8177597462999999</x:v>
      </x:c>
      <x:c r="G39" s="179" t="n">
        <x:f>IF(E39=0,0,(E39-F39)/E39)</x:f>
        <x:v>0.4548226955054788</x:v>
      </x:c>
      <x:c r="H39" s="178" t="n">
        <x:v>1.4357511338</x:v>
      </x:c>
      <x:c r="I39" s="178" t="n">
        <x:v>1.0338147784</x:v>
      </x:c>
      <x:c r="J39" s="179" t="n">
        <x:f>IF(H39=0,0,(H39-I39)/H39)</x:f>
        <x:v>0.27994848545666523</x:v>
      </x:c>
      <x:c r="K39" s="177" t="str">
        <x:v>产品组合波动较大；不能直接代表外置激光器热沉等新产品毛利率</x:v>
      </x:c>
      <x:c r="L39" s="184"/>
      <x:c r="M39" s="184"/>
      <x:c r="N39" s="184"/>
      <x:c r="O39" s="184"/>
      <x:c r="P39" s="184"/>
    </x:row>
    <x:row r="40">
      <x:c r="A40" s="177" t="str">
        <x:v>激光光学元器件</x:v>
      </x:c>
      <x:c r="B40" s="178" t="n">
        <x:v>2.0713414604</x:v>
      </x:c>
      <x:c r="C40" s="178" t="n">
        <x:v>1.0228563191</x:v>
      </x:c>
      <x:c r="D40" s="179" t="n">
        <x:f>IF(B40=0,0,(B40-C40)/B40)</x:f>
        <x:v>0.5061865275933429</x:v>
      </x:c>
      <x:c r="E40" s="178" t="n">
        <x:v>2.8730835423000003</x:v>
      </x:c>
      <x:c r="F40" s="178" t="n">
        <x:v>1.7712317159</x:v>
      </x:c>
      <x:c r="G40" s="179" t="n">
        <x:f>IF(E40=0,0,(E40-F40)/E40)</x:f>
        <x:v>0.3835084536100648</x:v>
      </x:c>
      <x:c r="H40" s="178" t="n">
        <x:v>3.9365263254</x:v>
      </x:c>
      <x:c r="I40" s="178" t="n">
        <x:v>2.2540633171</x:v>
      </x:c>
      <x:c r="J40" s="179" t="n">
        <x:f>IF(H40=0,0,(H40-I40)/H40)</x:f>
        <x:v>0.4273978805740721</x:v>
      </x:c>
      <x:c r="K40" s="177" t="str">
        <x:v>工业与光通信微光学的主要历史锚点，2025年毛利率42.74%</x:v>
      </x:c>
      <x:c r="L40" s="184"/>
      <x:c r="M40" s="184"/>
      <x:c r="N40" s="184"/>
      <x:c r="O40" s="184"/>
      <x:c r="P40" s="184"/>
    </x:row>
    <x:row r="41">
      <x:c r="A41" s="177" t="str">
        <x:v>汽车应用解决方案</x:v>
      </x:c>
      <x:c r="B41" s="178" t="n">
        <x:v>0.4647309009</x:v>
      </x:c>
      <x:c r="C41" s="178" t="n">
        <x:v>0.16147137960000002</x:v>
      </x:c>
      <x:c r="D41" s="179" t="n">
        <x:f>IF(B41=0,0,(B41-C41)/B41)</x:f>
        <x:v>0.6525486485032654</x:v>
      </x:c>
      <x:c r="E41" s="178" t="n">
        <x:v>0.7743904954</x:v>
      </x:c>
      <x:c r="F41" s="178" t="n">
        <x:v>0.9431339076999999</x:v>
      </x:c>
      <x:c r="G41" s="179" t="n">
        <x:f>IF(E41=0,0,(E41-F41)/E41)</x:f>
        <x:v>-0.21790480810697188</x:v>
      </x:c>
      <x:c r="H41" s="178" t="n">
        <x:v>1.2743442466</x:v>
      </x:c>
      <x:c r="I41" s="178" t="n">
        <x:v>0.7991905569</x:v>
      </x:c>
      <x:c r="J41" s="179" t="n">
        <x:f>IF(H41=0,0,(H41-I41)/H41)</x:f>
        <x:v>0.3728613292426505</x:v>
      </x:c>
      <x:c r="K41" s="177" t="str">
        <x:v>瑞士产线调整使2024年异常为负，2025年转产后恢复至37.29%</x:v>
      </x:c>
      <x:c r="L41" s="184"/>
      <x:c r="M41" s="184"/>
      <x:c r="N41" s="184"/>
      <x:c r="O41" s="184"/>
      <x:c r="P41" s="184"/>
    </x:row>
    <x:row r="42">
      <x:c r="A42" s="177" t="str">
        <x:v>泛半导体制程解决方案</x:v>
      </x:c>
      <x:c r="B42" s="178" t="n">
        <x:v>0.6252791825</x:v>
      </x:c>
      <x:c r="C42" s="178" t="n">
        <x:v>0.3143235934</x:v>
      </x:c>
      <x:c r="D42" s="179" t="n">
        <x:f>IF(B42=0,0,(B42-C42)/B42)</x:f>
        <x:v>0.4973067995910771</x:v>
      </x:c>
      <x:c r="E42" s="178" t="n">
        <x:v>0.6889811756</x:v>
      </x:c>
      <x:c r="F42" s="178" t="n">
        <x:v>0.406494409</x:v>
      </x:c>
      <x:c r="G42" s="179" t="n">
        <x:f>IF(E42=0,0,(E42-F42)/E42)</x:f>
        <x:v>0.4100065090370519</x:v>
      </x:c>
      <x:c r="H42" s="178" t="n">
        <x:v>0.8709200740999999</x:v>
      </x:c>
      <x:c r="I42" s="178" t="n">
        <x:v>0.3979845442</x:v>
      </x:c>
      <x:c r="J42" s="179" t="n">
        <x:f>IF(H42=0,0,(H42-I42)/H42)</x:f>
        <x:v>0.5430297727248126</x:v>
      </x:c>
      <x:c r="K42" s="177" t="str">
        <x:v>2025年毛利率54.30%，预测采用略低的52%稳态假设</x:v>
      </x:c>
      <x:c r="L42" s="184"/>
      <x:c r="M42" s="184"/>
      <x:c r="N42" s="184"/>
      <x:c r="O42" s="184"/>
      <x:c r="P42" s="184"/>
    </x:row>
    <x:row r="43">
      <x:c r="A43" s="177" t="str">
        <x:v>医疗健康解决方案</x:v>
      </x:c>
      <x:c r="B43" s="178" t="n">
        <x:v>0.1152894113</x:v>
      </x:c>
      <x:c r="C43" s="178" t="n">
        <x:v>0.0683978058</x:v>
      </x:c>
      <x:c r="D43" s="179" t="n">
        <x:f>IF(B43=0,0,(B43-C43)/B43)</x:f>
        <x:v>0.40672950769070326</x:v>
      </x:c>
      <x:c r="E43" s="178" t="n">
        <x:v>0.1667690697</x:v>
      </x:c>
      <x:c r="F43" s="178" t="n">
        <x:v>0.1113637684</x:v>
      </x:c>
      <x:c r="G43" s="179" t="n">
        <x:f>IF(E43=0,0,(E43-F43)/E43)</x:f>
        <x:v>0.33222768106620915</x:v>
      </x:c>
      <x:c r="H43" s="178" t="n">
        <x:v>0.27037010370000003</x:v>
      </x:c>
      <x:c r="I43" s="178" t="n">
        <x:v>0.1790875804</x:v>
      </x:c>
      <x:c r="J43" s="179" t="n">
        <x:f>IF(H43=0,0,(H43-I43)/H43)</x:f>
        <x:v>0.33762062465784387</x:v>
      </x:c>
      <x:c r="K43" s="177" t="str">
        <x:v>2024—2025年稳定在33%—34%，预测按34%</x:v>
      </x:c>
      <x:c r="L43" s="184"/>
      <x:c r="M43" s="184"/>
      <x:c r="N43" s="184"/>
      <x:c r="O43" s="184"/>
      <x:c r="P43" s="184"/>
    </x:row>
    <x:row r="44">
      <x:c r="A44" s="177" t="str">
        <x:v>全球光子工艺和制造服务</x:v>
      </x:c>
      <x:c r="B44" s="178" t="str">
        <x:v>—</x:v>
      </x:c>
      <x:c r="C44" s="178" t="str">
        <x:v>—</x:v>
      </x:c>
      <x:c r="D44" s="179" t="str">
        <x:v>—</x:v>
      </x:c>
      <x:c r="E44" s="178" t="n">
        <x:v>0.1715408755</x:v>
      </x:c>
      <x:c r="F44" s="178" t="n">
        <x:v>0.3926358849</x:v>
      </x:c>
      <x:c r="G44" s="179" t="n">
        <x:f>IF(E44=0,0,(E44-F44)/E44)</x:f>
        <x:v>-1.288876536018379</x:v>
      </x:c>
      <x:c r="H44" s="178" t="n">
        <x:v>0.9339306309000001</x:v>
      </x:c>
      <x:c r="I44" s="178" t="n">
        <x:v>0.9710940652</x:v>
      </x:c>
      <x:c r="J44" s="179" t="n">
        <x:f>IF(H44=0,0,(H44-I44)/H44)</x:f>
        <x:v>-0.039792499646560106</x:v>
      </x:c>
      <x:c r="K44" s="177" t="str">
        <x:v>并购后仍处爬坡期；不以历史负毛利直接外推消费电子新品</x:v>
      </x:c>
      <x:c r="L44" s="184"/>
      <x:c r="M44" s="184"/>
      <x:c r="N44" s="184"/>
      <x:c r="O44" s="184"/>
      <x:c r="P44" s="184"/>
    </x:row>
    <x:row r="45">
      <x:c r="A45" s="184"/>
      <x:c r="B45" s="184"/>
      <x:c r="C45" s="184"/>
      <x:c r="D45" s="184"/>
      <x:c r="E45" s="184"/>
      <x:c r="F45" s="184"/>
      <x:c r="G45" s="184"/>
      <x:c r="H45" s="184"/>
      <x:c r="I45" s="184"/>
      <x:c r="J45" s="184"/>
      <x:c r="K45" s="184"/>
      <x:c r="L45" s="184"/>
      <x:c r="M45" s="184"/>
      <x:c r="N45" s="184"/>
      <x:c r="O45" s="184"/>
      <x:c r="P45" s="184"/>
    </x:row>
    <x:row r="46">
      <x:c r="A46" s="176" t="str">
        <x:v>2026H1新产品口径｜与2023—2025年分类不完全可比</x:v>
      </x:c>
      <x:c r="B46" s="176"/>
      <x:c r="C46" s="176"/>
      <x:c r="D46" s="176"/>
      <x:c r="E46" s="176"/>
      <x:c r="F46" s="184"/>
      <x:c r="G46" s="184"/>
      <x:c r="H46" s="184"/>
      <x:c r="I46" s="184"/>
      <x:c r="J46" s="184"/>
      <x:c r="K46" s="184"/>
      <x:c r="L46" s="184"/>
      <x:c r="M46" s="184"/>
      <x:c r="N46" s="184"/>
      <x:c r="O46" s="184"/>
      <x:c r="P46" s="184"/>
    </x:row>
    <x:row r="47">
      <x:c r="A47" s="176" t="str">
        <x:v>产品口径</x:v>
      </x:c>
      <x:c r="B47" s="176" t="str">
        <x:v>收入</x:v>
      </x:c>
      <x:c r="C47" s="176" t="str">
        <x:v>成本</x:v>
      </x:c>
      <x:c r="D47" s="176" t="str">
        <x:v>毛利率</x:v>
      </x:c>
      <x:c r="E47" s="176" t="str">
        <x:v>来源ID</x:v>
      </x:c>
      <x:c r="F47" s="184"/>
      <x:c r="G47" s="184"/>
      <x:c r="H47" s="184"/>
      <x:c r="I47" s="184"/>
      <x:c r="J47" s="184"/>
      <x:c r="K47" s="184"/>
      <x:c r="L47" s="184"/>
      <x:c r="M47" s="184"/>
      <x:c r="N47" s="184"/>
      <x:c r="O47" s="184"/>
      <x:c r="P47" s="184"/>
    </x:row>
    <x:row r="48">
      <x:c r="A48" s="177" t="str">
        <x:v>激光光源与应用产品</x:v>
      </x:c>
      <x:c r="B48" s="178" t="n">
        <x:v>1.0346619164</x:v>
      </x:c>
      <x:c r="C48" s="178" t="n">
        <x:v>0.6749676762000001</x:v>
      </x:c>
      <x:c r="D48" s="179" t="n">
        <x:f>IF(B48=0,0,(B48-C48)/B48)</x:f>
        <x:v>0.3476442251315474</x:v>
      </x:c>
      <x:c r="E48" s="177" t="str">
        <x:v>jg2026h1</x:v>
      </x:c>
      <x:c r="F48" s="184"/>
      <x:c r="G48" s="184"/>
      <x:c r="H48" s="184"/>
      <x:c r="I48" s="184"/>
      <x:c r="J48" s="184"/>
      <x:c r="K48" s="184"/>
      <x:c r="L48" s="184"/>
      <x:c r="M48" s="184"/>
      <x:c r="N48" s="184"/>
      <x:c r="O48" s="184"/>
      <x:c r="P48" s="184"/>
    </x:row>
    <x:row r="49">
      <x:c r="A49" s="177" t="str">
        <x:v>激光光学产品</x:v>
      </x:c>
      <x:c r="B49" s="178" t="n">
        <x:v>2.306926766</x:v>
      </x:c>
      <x:c r="C49" s="178" t="n">
        <x:v>1.0639646654000001</x:v>
      </x:c>
      <x:c r="D49" s="179" t="n">
        <x:f>IF(B49=0,0,(B49-C49)/B49)</x:f>
        <x:v>0.5387956474904414</x:v>
      </x:c>
      <x:c r="E49" s="177" t="str">
        <x:v>jg2026h1</x:v>
      </x:c>
      <x:c r="F49" s="184"/>
      <x:c r="G49" s="184"/>
      <x:c r="H49" s="184"/>
      <x:c r="I49" s="184"/>
      <x:c r="J49" s="184"/>
      <x:c r="K49" s="184"/>
      <x:c r="L49" s="184"/>
      <x:c r="M49" s="184"/>
      <x:c r="N49" s="184"/>
      <x:c r="O49" s="184"/>
      <x:c r="P49" s="184"/>
    </x:row>
    <x:row r="50">
      <x:c r="A50" s="177" t="str">
        <x:v>全球光子工艺和制造服务</x:v>
      </x:c>
      <x:c r="B50" s="178" t="n">
        <x:v>0.6240062503</x:v>
      </x:c>
      <x:c r="C50" s="178" t="n">
        <x:v>0.5691470622</x:v>
      </x:c>
      <x:c r="D50" s="179" t="n">
        <x:f>IF(B50=0,0,(B50-C50)/B50)</x:f>
        <x:v>0.08791448494886976</x:v>
      </x:c>
      <x:c r="E50" s="177" t="str">
        <x:v>jg2026h1</x:v>
      </x:c>
      <x:c r="F50" s="184"/>
      <x:c r="G50" s="184"/>
      <x:c r="H50" s="184"/>
      <x:c r="I50" s="184"/>
      <x:c r="J50" s="184"/>
      <x:c r="K50" s="184"/>
      <x:c r="L50" s="184"/>
      <x:c r="M50" s="184"/>
      <x:c r="N50" s="184"/>
      <x:c r="O50" s="184"/>
      <x:c r="P50" s="184"/>
    </x:row>
    <x:row r="51">
      <x:c r="A51" s="177" t="str">
        <x:v>研发服务及加工服务</x:v>
      </x:c>
      <x:c r="B51" s="178" t="n">
        <x:v>0.18381574809999998</x:v>
      </x:c>
      <x:c r="C51" s="178" t="n">
        <x:v>0.056141030999999994</x:v>
      </x:c>
      <x:c r="D51" s="179" t="n">
        <x:f>IF(B51=0,0,(B51-C51)/B51)</x:f>
        <x:v>0.6945798628229722</x:v>
      </x:c>
      <x:c r="E51" s="177" t="str">
        <x:v>jg2026h1</x:v>
      </x:c>
      <x:c r="F51" s="184"/>
      <x:c r="G51" s="184"/>
      <x:c r="H51" s="184"/>
      <x:c r="I51" s="184"/>
      <x:c r="J51" s="184"/>
      <x:c r="K51" s="184"/>
      <x:c r="L51" s="184"/>
      <x:c r="M51" s="184"/>
      <x:c r="N51" s="184"/>
      <x:c r="O51" s="184"/>
      <x:c r="P51" s="184"/>
    </x:row>
    <x:row r="52">
      <x:c r="A52" s="184"/>
      <x:c r="B52" s="184"/>
      <x:c r="C52" s="184"/>
      <x:c r="D52" s="184"/>
      <x:c r="E52" s="184"/>
      <x:c r="F52" s="184"/>
      <x:c r="G52" s="184"/>
      <x:c r="H52" s="184"/>
      <x:c r="I52" s="184"/>
      <x:c r="J52" s="184"/>
      <x:c r="K52" s="184"/>
      <x:c r="L52" s="184"/>
      <x:c r="M52" s="184"/>
      <x:c r="N52" s="184"/>
      <x:c r="O52" s="184"/>
      <x:c r="P52" s="184"/>
    </x:row>
    <x:row r="53" ht="38" customHeight="1">
      <x:c r="A53" s="192" t="str">
        <x:v>口径说明：财报只披露分应用收入，未披露分应用毛利率。历史产品毛利率用于约束研究预测，但不与应用市场一一对应；2026年起产品分类调整。</x:v>
      </x:c>
      <x:c r="B53" s="192"/>
      <x:c r="C53" s="192"/>
      <x:c r="D53" s="192"/>
      <x:c r="E53" s="192"/>
      <x:c r="F53" s="192"/>
      <x:c r="G53" s="192"/>
      <x:c r="H53" s="192"/>
      <x:c r="I53" s="192"/>
      <x:c r="J53" s="192"/>
      <x:c r="K53" s="192"/>
      <x:c r="L53" s="184"/>
      <x:c r="M53" s="184"/>
      <x:c r="N53" s="184"/>
      <x:c r="O53" s="184"/>
      <x:c r="P53" s="184"/>
    </x:row>
    <x:row r="54">
      <x:c r="A54" s="184"/>
      <x:c r="B54" s="184"/>
      <x:c r="C54" s="184"/>
      <x:c r="D54" s="184"/>
      <x:c r="E54" s="184"/>
      <x:c r="F54" s="184"/>
      <x:c r="G54" s="184"/>
      <x:c r="H54" s="184"/>
      <x:c r="I54" s="184"/>
      <x:c r="J54" s="184"/>
      <x:c r="K54" s="184"/>
      <x:c r="L54" s="184"/>
      <x:c r="M54" s="184"/>
      <x:c r="N54" s="184"/>
      <x:c r="O54" s="184"/>
      <x:c r="P54" s="184"/>
    </x:row>
    <x:row r="55">
      <x:c r="A55" s="176" t="str">
        <x:v>成熟期应用毛利率假设回测｜实际综合毛利率与按应用收入结构反算结果</x:v>
      </x:c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84"/>
      <x:c r="M55" s="184"/>
      <x:c r="N55" s="184"/>
      <x:c r="O55" s="184"/>
      <x:c r="P55" s="184"/>
    </x:row>
    <x:row r="56">
      <x:c r="A56" s="176" t="str">
        <x:v>期间</x:v>
      </x:c>
      <x:c r="B56" s="176" t="str">
        <x:v>营业收入</x:v>
      </x:c>
      <x:c r="C56" s="176" t="str">
        <x:v>实际毛利率</x:v>
      </x:c>
      <x:c r="D56" s="176" t="str">
        <x:v>成熟假设反算毛利率</x:v>
      </x:c>
      <x:c r="E56" s="176" t="str">
        <x:v>差异</x:v>
      </x:c>
      <x:c r="F56" s="176" t="str">
        <x:v>解读</x:v>
      </x:c>
      <x:c r="G56" s="184"/>
      <x:c r="H56" s="184"/>
      <x:c r="I56" s="184"/>
      <x:c r="J56" s="184"/>
      <x:c r="K56" s="184"/>
      <x:c r="L56" s="184"/>
      <x:c r="M56" s="184"/>
      <x:c r="N56" s="184"/>
      <x:c r="O56" s="184"/>
      <x:c r="P56" s="184"/>
    </x:row>
    <x:row r="57">
      <x:c r="A57" s="177" t="str">
        <x:v>2025A</x:v>
      </x:c>
      <x:c r="B57" s="178" t="n">
        <x:v>8.7999932916</x:v>
      </x:c>
      <x:c r="C57" s="179" t="n">
        <x:v>0.3578264869480914</x:v>
      </x:c>
      <x:c r="D57" s="179" t="n">
        <x:v>0.4303541219076808</x:v>
      </x:c>
      <x:c r="E57" s="179" t="n">
        <x:v>0.07252763495958942</x:v>
      </x:c>
      <x:c r="F57" s="177" t="str">
        <x:v>并购整合与低稼动爬坡使成熟假设明显高于当期实际</x:v>
      </x:c>
      <x:c r="G57" s="184"/>
      <x:c r="H57" s="184"/>
      <x:c r="I57" s="184"/>
      <x:c r="J57" s="184"/>
      <x:c r="K57" s="184"/>
      <x:c r="L57" s="184"/>
      <x:c r="M57" s="184"/>
      <x:c r="N57" s="184"/>
      <x:c r="O57" s="184"/>
      <x:c r="P57" s="184"/>
    </x:row>
    <x:row r="58">
      <x:c r="A58" s="177" t="str">
        <x:v>2026H1</x:v>
      </x:c>
      <x:c r="B58" s="178" t="n">
        <x:v>4.1856510076</x:v>
      </x:c>
      <x:c r="C58" s="179" t="n">
        <x:v>0.43337049455541904</x:v>
      </x:c>
      <x:c r="D58" s="179" t="n">
        <x:v>0.4535581467143244</x:v>
      </x:c>
      <x:c r="E58" s="179" t="n">
        <x:v>0.020187652158905334</x:v>
      </x:c>
      <x:c r="F58" s="177" t="str">
        <x:v>偏差收窄，当前组合可作为成熟期近似锚点</x:v>
      </x:c>
      <x:c r="G58" s="184"/>
      <x:c r="H58" s="184"/>
      <x:c r="I58" s="184"/>
      <x:c r="J58" s="184"/>
      <x:c r="K58" s="184"/>
      <x:c r="L58" s="184"/>
      <x:c r="M58" s="184"/>
      <x:c r="N58" s="184"/>
      <x:c r="O58" s="184"/>
      <x:c r="P58" s="184"/>
    </x:row>
    <x:row r="59">
      <x:c r="A59" s="184"/>
      <x:c r="B59" s="184"/>
      <x:c r="C59" s="184"/>
      <x:c r="D59" s="184"/>
      <x:c r="E59" s="184"/>
      <x:c r="F59" s="184"/>
      <x:c r="G59" s="184"/>
      <x:c r="H59" s="184"/>
      <x:c r="I59" s="184"/>
      <x:c r="J59" s="184"/>
      <x:c r="K59" s="184"/>
      <x:c r="L59" s="184"/>
      <x:c r="M59" s="184"/>
      <x:c r="N59" s="184"/>
      <x:c r="O59" s="184"/>
      <x:c r="P59" s="184"/>
    </x:row>
    <x:row r="60">
      <x:c r="A60" s="176" t="str">
        <x:v>高端微纳光学毛利率参照｜技术溢价成立仍取决于产品结构、良率与稼动率</x:v>
      </x:c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84"/>
      <x:c r="M60" s="184"/>
      <x:c r="N60" s="184"/>
      <x:c r="O60" s="184"/>
      <x:c r="P60" s="184"/>
    </x:row>
    <x:row r="61">
      <x:c r="A61" s="176" t="str">
        <x:v>主体/口径</x:v>
      </x:c>
      <x:c r="B61" s="176" t="str">
        <x:v>期间</x:v>
      </x:c>
      <x:c r="C61" s="176" t="str">
        <x:v>指标</x:v>
      </x:c>
      <x:c r="D61" s="176" t="str">
        <x:v>数值</x:v>
      </x:c>
      <x:c r="E61" s="176" t="str">
        <x:v>补充口径</x:v>
      </x:c>
      <x:c r="F61" s="176" t="str">
        <x:v>用途</x:v>
      </x:c>
      <x:c r="G61" s="176" t="str">
        <x:v>来源</x:v>
      </x:c>
      <x:c r="H61" s="184"/>
      <x:c r="I61" s="184"/>
      <x:c r="J61" s="184"/>
      <x:c r="K61" s="184"/>
      <x:c r="L61" s="184"/>
      <x:c r="M61" s="184"/>
      <x:c r="N61" s="184"/>
      <x:c r="O61" s="184"/>
      <x:c r="P61" s="184"/>
    </x:row>
    <x:row r="62">
      <x:c r="A62" s="177" t="str">
        <x:v>炬光科技 / 激光光学</x:v>
      </x:c>
      <x:c r="B62" s="177" t="str">
        <x:v>2021A</x:v>
      </x:c>
      <x:c r="C62" s="177" t="str">
        <x:v>产品毛利率</x:v>
      </x:c>
      <x:c r="D62" s="190" t="n">
        <x:v>0.6389</x:v>
      </x:c>
      <x:c r="E62" s="177" t="str">
        <x:v>原分类口径</x:v>
      </x:c>
      <x:c r="F62" s="177" t="str">
        <x:v>成熟产线、镀膜内制与高附加值产品结构的历史能力验证</x:v>
      </x:c>
      <x:c r="G62" s="177" t="str">
        <x:v>S18</x:v>
      </x:c>
      <x:c r="H62" s="184"/>
      <x:c r="I62" s="184"/>
      <x:c r="J62" s="184"/>
      <x:c r="K62" s="184"/>
      <x:c r="L62" s="184"/>
      <x:c r="M62" s="184"/>
      <x:c r="N62" s="184"/>
      <x:c r="O62" s="184"/>
      <x:c r="P62" s="184"/>
    </x:row>
    <x:row r="63">
      <x:c r="A63" s="177" t="str">
        <x:v>炬光科技 / 激光光学元器件</x:v>
      </x:c>
      <x:c r="B63" s="177" t="str">
        <x:v>2022A</x:v>
      </x:c>
      <x:c r="C63" s="177" t="str">
        <x:v>产品毛利率</x:v>
      </x:c>
      <x:c r="D63" s="190" t="n">
        <x:v>0.6023</x:v>
      </x:c>
      <x:c r="E63" s="177" t="str">
        <x:v>2022年分类口径调整</x:v>
      </x:c>
      <x:c r="F63" s="177" t="str">
        <x:v>历史能力验证，不等同未来光通信实际毛利率</x:v>
      </x:c>
      <x:c r="G63" s="177" t="str">
        <x:v>S19</x:v>
      </x:c>
      <x:c r="H63" s="184"/>
      <x:c r="I63" s="184"/>
      <x:c r="J63" s="184"/>
      <x:c r="K63" s="184"/>
      <x:c r="L63" s="184"/>
      <x:c r="M63" s="184"/>
      <x:c r="N63" s="184"/>
      <x:c r="O63" s="184"/>
      <x:c r="P63" s="184"/>
    </x:row>
    <x:row r="64">
      <x:c r="A64" s="177" t="str">
        <x:v>Enplas / Digital Communication</x:v>
      </x:c>
      <x:c r="B64" s="177" t="str">
        <x:v>FY2024</x:v>
      </x:c>
      <x:c r="C64" s="177" t="str">
        <x:v>分部营业利润率</x:v>
      </x:c>
      <x:c r="D64" s="190" t="n">
        <x:v>0.552</x:v>
      </x:c>
      <x:c r="E64" s="177" t="str">
        <x:v>光纤透镜收入占比75.7%</x:v>
      </x:c>
      <x:c r="F64" s="177" t="str">
        <x:v>外部经营杠杆参照；分部仍含LED扩散透镜，且营业利润率不等于毛利率</x:v>
      </x:c>
      <x:c r="G64" s="177" t="str">
        <x:v>S17</x:v>
      </x:c>
      <x:c r="H64" s="184"/>
      <x:c r="I64" s="184"/>
      <x:c r="J64" s="184"/>
      <x:c r="K64" s="184"/>
      <x:c r="L64" s="184"/>
      <x:c r="M64" s="184"/>
      <x:c r="N64" s="184"/>
      <x:c r="O64" s="184"/>
      <x:c r="P64" s="184"/>
    </x:row>
    <x:row r="65">
      <x:c r="A65" s="184"/>
      <x:c r="B65" s="184"/>
      <x:c r="C65" s="184"/>
      <x:c r="D65" s="184"/>
      <x:c r="E65" s="184"/>
      <x:c r="F65" s="184"/>
      <x:c r="G65" s="184"/>
      <x:c r="H65" s="184"/>
      <x:c r="I65" s="184"/>
      <x:c r="J65" s="184"/>
      <x:c r="K65" s="184"/>
      <x:c r="L65" s="184"/>
      <x:c r="M65" s="184"/>
      <x:c r="N65" s="184"/>
      <x:c r="O65" s="184"/>
      <x:c r="P65" s="184"/>
    </x:row>
    <x:row r="66" ht="48" customHeight="1">
      <x:c r="A66" s="192" t="str">
        <x:v>解释：亚微米结构、多工艺窗口、高通道阵列良率及长周期客户认证共同构成壁垒；微光学虽然物料占比有限，却通过耦合损耗影响激光功率、热负荷、误码率与整条链路预算。光通信预测毛利率固定60%至2030年，不假设规模扩大后继续提升。</x:v>
      </x:c>
      <x:c r="B66" s="192"/>
      <x:c r="C66" s="192"/>
      <x:c r="D66" s="192"/>
      <x:c r="E66" s="192"/>
      <x:c r="F66" s="192"/>
      <x:c r="G66" s="192"/>
      <x:c r="H66" s="192"/>
      <x:c r="I66" s="192"/>
      <x:c r="J66" s="192"/>
      <x:c r="K66" s="192"/>
      <x:c r="L66" s="184"/>
      <x:c r="M66" s="184"/>
      <x:c r="N66" s="184"/>
      <x:c r="O66" s="184"/>
      <x:c r="P66" s="184"/>
    </x:row>
  </x:sheetData>
  <x:mergeCells>
    <x:mergeCell ref="A1:O1"/>
    <x:mergeCell ref="A2:O2"/>
    <x:mergeCell ref="A37:K37"/>
    <x:mergeCell ref="A46:E46"/>
    <x:mergeCell ref="A53:K53"/>
    <x:mergeCell ref="A55:K55"/>
    <x:mergeCell ref="A60:K60"/>
    <x:mergeCell ref="A66:K66"/>
  </x:mergeCells>
  <x:pageMargins left="0.7" right="0.7" top="0.75" bottom="0.75" header="0.3" footer="0.3"/>
  <x:drawing xmlns:r="http://schemas.openxmlformats.org/officeDocument/2006/relationships" r:id="R1ffef942b8a4423f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2" customHeight="1">
      <x:c r="A1" s="172" t="str">
        <x:v>历史利润质量与2026H1同口径观察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172"/>
      <x:c r="Q1" s="172"/>
      <x:c r="R1" s="172"/>
      <x:c r="S1" s="172"/>
      <x:c r="T1" s="172"/>
      <x:c r="U1" s="184"/>
    </x:row>
    <x:row r="2" ht="28" customHeight="1">
      <x:c r="A2" s="174" t="str">
        <x:v>将法定归母净利润与股份支付、低频长期资产减值及汇兑影响分层展示；单位：亿元。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174"/>
      <x:c r="Q2" s="174"/>
      <x:c r="R2" s="174"/>
      <x:c r="S2" s="174"/>
      <x:c r="T2" s="174"/>
      <x:c r="U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 s="184"/>
      <x:c r="P3" s="184"/>
      <x:c r="Q3" s="184"/>
      <x:c r="R3" s="184"/>
      <x:c r="S3" s="184"/>
      <x:c r="T3" s="184"/>
      <x:c r="U3" s="184"/>
    </x:row>
    <x:row r="4">
      <x:c r="A4" s="176" t="str">
        <x:v>期间</x:v>
      </x:c>
      <x:c r="B4" s="176" t="str">
        <x:v>报告归母净利润</x:v>
      </x:c>
      <x:c r="C4" s="176" t="str">
        <x:v>存货减值</x:v>
      </x:c>
      <x:c r="D4" s="176" t="str">
        <x:v>商誉减值</x:v>
      </x:c>
      <x:c r="E4" s="176" t="str">
        <x:v>其他长期资产减值</x:v>
      </x:c>
      <x:c r="F4" s="176" t="str">
        <x:v>资产减值合计</x:v>
      </x:c>
      <x:c r="G4" s="176" t="str">
        <x:v>股份支付费用</x:v>
      </x:c>
      <x:c r="H4" s="176" t="str">
        <x:v>剔除股份支付后归母净利润</x:v>
      </x:c>
      <x:c r="I4" s="176" t="str">
        <x:v>汇兑损益还原项</x:v>
      </x:c>
      <x:c r="J4" s="176" t="str">
        <x:v>经营观察值（保留存货减值）</x:v>
      </x:c>
      <x:c r="K4" s="176" t="str">
        <x:v>完全机械还原值</x:v>
      </x:c>
      <x:c r="L4" s="184"/>
      <x:c r="M4" s="184"/>
      <x:c r="N4" s="176" t="str">
        <x:v>期间</x:v>
      </x:c>
      <x:c r="O4" s="176" t="str">
        <x:v>报告归母净利润</x:v>
      </x:c>
      <x:c r="P4" s="176" t="str">
        <x:v>经营观察值</x:v>
      </x:c>
      <x:c r="Q4" s="176" t="str">
        <x:v>完全机械还原值</x:v>
      </x:c>
      <x:c r="R4" s="184"/>
      <x:c r="S4" s="184"/>
      <x:c r="T4" s="184"/>
      <x:c r="U4" s="184"/>
    </x:row>
    <x:row r="5">
      <x:c r="A5" s="177" t="str">
        <x:v>2023A</x:v>
      </x:c>
      <x:c r="B5" s="193" t="n">
        <x:v>0.905461</x:v>
      </x:c>
      <x:c r="C5" s="193" t="n">
        <x:v>0.249603</x:v>
      </x:c>
      <x:c r="D5" s="193" t="n">
        <x:v>0</x:v>
      </x:c>
      <x:c r="E5" s="193" t="n">
        <x:v>0</x:v>
      </x:c>
      <x:c r="F5" s="193" t="n">
        <x:v>0.249603</x:v>
      </x:c>
      <x:c r="G5" s="193" t="n">
        <x:v>0.089541</x:v>
      </x:c>
      <x:c r="H5" s="193" t="n">
        <x:v>0.98157</x:v>
      </x:c>
      <x:c r="I5" s="193" t="n">
        <x:v>-0.098653</x:v>
      </x:c>
      <x:c r="J5" s="194" t="n">
        <x:v>0.882918</x:v>
      </x:c>
      <x:c r="K5" s="194" t="n">
        <x:v>1.132521</x:v>
      </x:c>
      <x:c r="L5" s="184"/>
      <x:c r="M5" s="184"/>
      <x:c r="N5" s="177" t="str">
        <x:f>A5</x:f>
        <x:v>2023A</x:v>
      </x:c>
      <x:c r="O5" s="195" t="n">
        <x:f>B5</x:f>
        <x:v>0.905461</x:v>
      </x:c>
      <x:c r="P5" s="195" t="n">
        <x:f>J5</x:f>
        <x:v>0.882918</x:v>
      </x:c>
      <x:c r="Q5" s="195" t="n">
        <x:f>K5</x:f>
        <x:v>1.132521</x:v>
      </x:c>
      <x:c r="R5" s="184"/>
      <x:c r="S5" s="184"/>
      <x:c r="T5" s="184"/>
      <x:c r="U5" s="184"/>
    </x:row>
    <x:row r="6">
      <x:c r="A6" s="177" t="str">
        <x:v>2024A</x:v>
      </x:c>
      <x:c r="B6" s="193" t="n">
        <x:v>-1.749095</x:v>
      </x:c>
      <x:c r="C6" s="193" t="n">
        <x:v>0.412037</x:v>
      </x:c>
      <x:c r="D6" s="193" t="n">
        <x:v>0.421338</x:v>
      </x:c>
      <x:c r="E6" s="193" t="n">
        <x:v>0.385017</x:v>
      </x:c>
      <x:c r="F6" s="193" t="n">
        <x:v>1.218392</x:v>
      </x:c>
      <x:c r="G6" s="193" t="n">
        <x:v>-0.028598</x:v>
      </x:c>
      <x:c r="H6" s="193" t="n">
        <x:v>-1.772982</x:v>
      </x:c>
      <x:c r="I6" s="193" t="n">
        <x:v>0.146574</x:v>
      </x:c>
      <x:c r="J6" s="194" t="n">
        <x:v>-0.820053</x:v>
      </x:c>
      <x:c r="K6" s="194" t="n">
        <x:v>-0.408015</x:v>
      </x:c>
      <x:c r="L6" s="184"/>
      <x:c r="M6" s="184"/>
      <x:c r="N6" s="177" t="str">
        <x:f>A6</x:f>
        <x:v>2024A</x:v>
      </x:c>
      <x:c r="O6" s="195" t="n">
        <x:f>B6</x:f>
        <x:v>-1.749095</x:v>
      </x:c>
      <x:c r="P6" s="195" t="n">
        <x:f>J6</x:f>
        <x:v>-0.820053</x:v>
      </x:c>
      <x:c r="Q6" s="195" t="n">
        <x:f>K6</x:f>
        <x:v>-0.408015</x:v>
      </x:c>
      <x:c r="R6" s="184"/>
      <x:c r="S6" s="184"/>
      <x:c r="T6" s="184"/>
      <x:c r="U6" s="184"/>
    </x:row>
    <x:row r="7">
      <x:c r="A7" s="177" t="str">
        <x:v>2025A</x:v>
      </x:c>
      <x:c r="B7" s="193" t="n">
        <x:v>-0.384096</x:v>
      </x:c>
      <x:c r="C7" s="193" t="n">
        <x:v>0.429914</x:v>
      </x:c>
      <x:c r="D7" s="193" t="n">
        <x:v>0</x:v>
      </x:c>
      <x:c r="E7" s="193" t="n">
        <x:v>0</x:v>
      </x:c>
      <x:c r="F7" s="193" t="n">
        <x:v>0.429914</x:v>
      </x:c>
      <x:c r="G7" s="193" t="n">
        <x:v>0.408135</x:v>
      </x:c>
      <x:c r="H7" s="193" t="n">
        <x:v>-0.037196</x:v>
      </x:c>
      <x:c r="I7" s="193" t="n">
        <x:v>-0.082889</x:v>
      </x:c>
      <x:c r="J7" s="194" t="n">
        <x:v>-0.120085</x:v>
      </x:c>
      <x:c r="K7" s="194" t="n">
        <x:v>0.309829</x:v>
      </x:c>
      <x:c r="L7" s="184"/>
      <x:c r="M7" s="184"/>
      <x:c r="N7" s="177" t="str">
        <x:f>A7</x:f>
        <x:v>2025A</x:v>
      </x:c>
      <x:c r="O7" s="195" t="n">
        <x:f>B7</x:f>
        <x:v>-0.384096</x:v>
      </x:c>
      <x:c r="P7" s="195" t="n">
        <x:f>J7</x:f>
        <x:v>-0.120085</x:v>
      </x:c>
      <x:c r="Q7" s="195" t="n">
        <x:f>K7</x:f>
        <x:v>0.309829</x:v>
      </x:c>
      <x:c r="R7" s="184"/>
      <x:c r="S7" s="184"/>
      <x:c r="T7" s="184"/>
      <x:c r="U7" s="184"/>
    </x:row>
    <x:row r="8">
      <x:c r="A8" s="177" t="str">
        <x:v>2026H1</x:v>
      </x:c>
      <x:c r="B8" s="193" t="n">
        <x:v>-0.672288</x:v>
      </x:c>
      <x:c r="C8" s="193" t="n">
        <x:v>0.353796</x:v>
      </x:c>
      <x:c r="D8" s="193" t="n">
        <x:v>0.310016</x:v>
      </x:c>
      <x:c r="E8" s="193" t="n">
        <x:v>0</x:v>
      </x:c>
      <x:c r="F8" s="193" t="n">
        <x:v>0.663811</x:v>
      </x:c>
      <x:c r="G8" s="193" t="n">
        <x:v>0.370824</x:v>
      </x:c>
      <x:c r="H8" s="193" t="n">
        <x:v>-0.349122</x:v>
      </x:c>
      <x:c r="I8" s="193" t="n">
        <x:v>0.066222</x:v>
      </x:c>
      <x:c r="J8" s="194" t="n">
        <x:v>0.027116</x:v>
      </x:c>
      <x:c r="K8" s="194" t="n">
        <x:v>0.380911</x:v>
      </x:c>
      <x:c r="L8" s="184"/>
      <x:c r="M8" s="184"/>
      <x:c r="N8" s="177" t="str">
        <x:f>A8</x:f>
        <x:v>2026H1</x:v>
      </x:c>
      <x:c r="O8" s="195" t="n">
        <x:f>B8</x:f>
        <x:v>-0.672288</x:v>
      </x:c>
      <x:c r="P8" s="195" t="n">
        <x:f>J8</x:f>
        <x:v>0.027116</x:v>
      </x:c>
      <x:c r="Q8" s="195" t="n">
        <x:f>K8</x:f>
        <x:v>0.380911</x:v>
      </x:c>
      <x:c r="R8" s="184"/>
      <x:c r="S8" s="184"/>
      <x:c r="T8" s="184"/>
      <x:c r="U8" s="184"/>
    </x:row>
    <x:row r="9">
      <x:c r="A9" s="184"/>
      <x:c r="B9" s="184"/>
      <x:c r="C9" s="184"/>
      <x:c r="D9" s="184"/>
      <x:c r="E9" s="184"/>
      <x:c r="F9" s="184"/>
      <x:c r="G9" s="184"/>
      <x:c r="H9" s="184"/>
      <x:c r="I9" s="184"/>
      <x:c r="J9" s="184"/>
      <x:c r="K9" s="184"/>
      <x:c r="L9" s="184"/>
      <x:c r="M9" s="184"/>
      <x:c r="N9" s="184"/>
      <x:c r="O9" s="184"/>
      <x:c r="P9" s="184"/>
      <x:c r="Q9" s="184"/>
      <x:c r="R9" s="184"/>
      <x:c r="S9" s="184"/>
      <x:c r="T9" s="184"/>
      <x:c r="U9" s="184"/>
    </x:row>
    <x:row r="10" ht="52" customHeight="1">
      <x:c r="A10" s="198" t="str">
        <x:v>口径说明：汇兑损失为正、汇兑收益为负；经营观察值保留存货减值，剔除股份支付、商誉/其他长期资产减值及汇兑影响；完全机械还原值再加回存货减值。以上为研究观察，不是公司披露的非GAAP指标，也未模拟所得税影响。</x:v>
      </x:c>
      <x:c r="B10" s="198"/>
      <x:c r="C10" s="198"/>
      <x:c r="D10" s="198"/>
      <x:c r="E10" s="198"/>
      <x:c r="F10" s="198"/>
      <x:c r="G10" s="198"/>
      <x:c r="H10" s="198"/>
      <x:c r="I10" s="198"/>
      <x:c r="J10" s="198"/>
      <x:c r="K10" s="198"/>
      <x:c r="L10" s="184"/>
      <x:c r="M10" s="184"/>
      <x:c r="N10" s="184"/>
      <x:c r="O10" s="184"/>
      <x:c r="P10" s="184"/>
      <x:c r="Q10" s="184"/>
      <x:c r="R10" s="184"/>
      <x:c r="S10" s="184"/>
      <x:c r="T10" s="184"/>
      <x:c r="U10" s="184"/>
    </x:row>
    <x:row r="11">
      <x:c r="A11" s="184"/>
      <x:c r="B11" s="184"/>
      <x:c r="C11" s="184"/>
      <x:c r="D11" s="184"/>
      <x:c r="E11" s="184"/>
      <x:c r="F11" s="184"/>
      <x:c r="G11" s="184"/>
      <x:c r="H11" s="184"/>
      <x:c r="I11" s="184"/>
      <x:c r="J11" s="184"/>
      <x:c r="K11" s="184"/>
      <x:c r="L11" s="184"/>
      <x:c r="M11" s="184"/>
      <x:c r="N11" s="184"/>
      <x:c r="O11" s="184"/>
      <x:c r="P11" s="184"/>
      <x:c r="Q11" s="184"/>
      <x:c r="R11" s="184"/>
      <x:c r="S11" s="184"/>
      <x:c r="T11" s="184"/>
      <x:c r="U11" s="184"/>
    </x:row>
    <x:row r="12">
      <x:c r="A12" s="184"/>
      <x:c r="B12" s="184"/>
      <x:c r="C12" s="184"/>
      <x:c r="D12" s="184"/>
      <x:c r="E12" s="184"/>
      <x:c r="F12" s="184"/>
      <x:c r="G12" s="184"/>
      <x:c r="H12" s="184"/>
      <x:c r="I12" s="184"/>
      <x:c r="J12" s="184"/>
      <x:c r="K12" s="184"/>
      <x:c r="L12" s="184"/>
      <x:c r="M12" s="184"/>
      <x:c r="N12" s="184"/>
      <x:c r="O12" s="184"/>
      <x:c r="P12" s="184"/>
      <x:c r="Q12" s="184"/>
      <x:c r="R12" s="184"/>
      <x:c r="S12" s="184"/>
      <x:c r="T12" s="184"/>
      <x:c r="U12" s="184"/>
    </x:row>
    <x:row r="13">
      <x:c r="A13" s="186" t="str">
        <x:v>2026H1同比影响还原桥</x:v>
      </x:c>
      <x:c r="B13" s="186"/>
      <x:c r="C13" s="186"/>
      <x:c r="D13" s="186"/>
      <x:c r="E13" s="184"/>
      <x:c r="F13" s="184"/>
      <x:c r="G13" s="184"/>
      <x:c r="H13" s="184"/>
      <x:c r="I13" s="184"/>
      <x:c r="J13" s="184"/>
      <x:c r="K13" s="184"/>
      <x:c r="L13" s="184"/>
      <x:c r="M13" s="184"/>
      <x:c r="N13" s="184"/>
      <x:c r="O13" s="184"/>
      <x:c r="P13" s="184"/>
      <x:c r="Q13" s="184"/>
      <x:c r="R13" s="184"/>
      <x:c r="S13" s="184"/>
      <x:c r="T13" s="184"/>
      <x:c r="U13" s="184"/>
    </x:row>
    <x:row r="14">
      <x:c r="A14" s="176" t="str">
        <x:v>桥接项</x:v>
      </x:c>
      <x:c r="B14" s="176" t="str">
        <x:v>金额</x:v>
      </x:c>
      <x:c r="C14" s="176" t="str">
        <x:v>计算/口径</x:v>
      </x:c>
      <x:c r="D14" s="176" t="str">
        <x:v>结果属性</x:v>
      </x:c>
      <x:c r="E14" s="184"/>
      <x:c r="F14" s="184"/>
      <x:c r="G14" s="184"/>
      <x:c r="H14" s="184"/>
      <x:c r="I14" s="184"/>
      <x:c r="J14" s="184"/>
      <x:c r="K14" s="184"/>
      <x:c r="L14" s="184"/>
      <x:c r="M14" s="184"/>
      <x:c r="N14" s="184"/>
      <x:c r="O14" s="184"/>
      <x:c r="P14" s="184"/>
      <x:c r="Q14" s="184"/>
      <x:c r="R14" s="184"/>
      <x:c r="S14" s="184"/>
      <x:c r="T14" s="184"/>
      <x:c r="U14" s="184"/>
    </x:row>
    <x:row r="15">
      <x:c r="A15" s="177" t="str">
        <x:v>报告期归母净利润</x:v>
      </x:c>
      <x:c r="B15" s="193" t="n">
        <x:v>-0.672288</x:v>
      </x:c>
      <x:c r="C15" s="177" t="str">
        <x:v>2026H1法定披露</x:v>
      </x:c>
      <x:c r="D15" s="177" t="str">
        <x:v>起点</x:v>
      </x:c>
      <x:c r="E15" s="184"/>
      <x:c r="F15" s="184"/>
      <x:c r="G15" s="184"/>
      <x:c r="H15" s="184"/>
      <x:c r="I15" s="184"/>
      <x:c r="J15" s="184"/>
      <x:c r="K15" s="184"/>
      <x:c r="L15" s="184"/>
      <x:c r="M15" s="184"/>
      <x:c r="N15" s="184"/>
      <x:c r="O15" s="184"/>
      <x:c r="P15" s="184"/>
      <x:c r="Q15" s="184"/>
      <x:c r="R15" s="184"/>
      <x:c r="S15" s="184"/>
      <x:c r="T15" s="184"/>
      <x:c r="U15" s="184"/>
    </x:row>
    <x:row r="16">
      <x:c r="A16" s="177" t="str">
        <x:v>资产减值同比增量</x:v>
      </x:c>
      <x:c r="B16" s="193" t="n">
        <x:v>0.49815</x:v>
      </x:c>
      <x:c r="C16" s="177" t="str">
        <x:v>2026H1较2025H1增加</x:v>
      </x:c>
      <x:c r="D16" s="177" t="str">
        <x:v>加回同比增量</x:v>
      </x:c>
      <x:c r="E16" s="184"/>
      <x:c r="F16" s="184"/>
      <x:c r="G16" s="184"/>
      <x:c r="H16" s="184"/>
      <x:c r="I16" s="184"/>
      <x:c r="J16" s="184"/>
      <x:c r="K16" s="184"/>
      <x:c r="L16" s="184"/>
      <x:c r="M16" s="184"/>
      <x:c r="N16" s="184"/>
      <x:c r="O16" s="184"/>
      <x:c r="P16" s="184"/>
      <x:c r="Q16" s="184"/>
      <x:c r="R16" s="184"/>
      <x:c r="S16" s="184"/>
      <x:c r="T16" s="184"/>
      <x:c r="U16" s="184"/>
    </x:row>
    <x:row r="17">
      <x:c r="A17" s="177" t="str">
        <x:v>股份支付归母影响增量</x:v>
      </x:c>
      <x:c r="B17" s="193" t="n">
        <x:v>0.16777</x:v>
      </x:c>
      <x:c r="C17" s="177" t="str">
        <x:v>归母口径同比增量</x:v>
      </x:c>
      <x:c r="D17" s="177" t="str">
        <x:v>加回同比增量</x:v>
      </x:c>
      <x:c r="E17" s="184"/>
      <x:c r="F17" s="184"/>
      <x:c r="G17" s="184"/>
      <x:c r="H17" s="184"/>
      <x:c r="I17" s="184"/>
      <x:c r="J17" s="184"/>
      <x:c r="K17" s="184"/>
      <x:c r="L17" s="184"/>
      <x:c r="M17" s="184"/>
      <x:c r="N17" s="184"/>
      <x:c r="O17" s="184"/>
      <x:c r="P17" s="184"/>
      <x:c r="Q17" s="184"/>
      <x:c r="R17" s="184"/>
      <x:c r="S17" s="184"/>
      <x:c r="T17" s="184"/>
      <x:c r="U17" s="184"/>
    </x:row>
    <x:row r="18">
      <x:c r="A18" s="177" t="str">
        <x:v>汇兑损益同比变化</x:v>
      </x:c>
      <x:c r="B18" s="193" t="n">
        <x:v>0.205525</x:v>
      </x:c>
      <x:c r="C18" s="177" t="str">
        <x:v>由上年同期汇兑收益转为本期损失</x:v>
      </x:c>
      <x:c r="D18" s="177" t="str">
        <x:v>加回同比变化</x:v>
      </x:c>
      <x:c r="E18" s="184"/>
      <x:c r="F18" s="184"/>
      <x:c r="G18" s="184"/>
      <x:c r="H18" s="184"/>
      <x:c r="I18" s="184"/>
      <x:c r="J18" s="184"/>
      <x:c r="K18" s="184"/>
      <x:c r="L18" s="184"/>
      <x:c r="M18" s="184"/>
      <x:c r="N18" s="184"/>
      <x:c r="O18" s="184"/>
      <x:c r="P18" s="184"/>
      <x:c r="Q18" s="184"/>
      <x:c r="R18" s="184"/>
      <x:c r="S18" s="184"/>
      <x:c r="T18" s="184"/>
      <x:c r="U18" s="184"/>
    </x:row>
    <x:row r="19">
      <x:c r="A19" s="197" t="str">
        <x:v>同口径影响还原</x:v>
      </x:c>
      <x:c r="B19" s="194" t="n">
        <x:f>SUM(B15:B18)</x:f>
        <x:v>0.199157</x:v>
      </x:c>
      <x:c r="C19" s="197" t="str">
        <x:v>上述四项合计</x:v>
      </x:c>
      <x:c r="D19" s="197" t="str">
        <x:v>观察结果</x:v>
      </x:c>
      <x:c r="E19" s="184"/>
      <x:c r="F19" s="184"/>
      <x:c r="G19" s="184"/>
      <x:c r="H19" s="184"/>
      <x:c r="I19" s="184"/>
      <x:c r="J19" s="184"/>
      <x:c r="K19" s="184"/>
      <x:c r="L19" s="184"/>
      <x:c r="M19" s="184"/>
      <x:c r="N19" s="184"/>
      <x:c r="O19" s="184"/>
      <x:c r="P19" s="184"/>
      <x:c r="Q19" s="184"/>
      <x:c r="R19" s="184"/>
      <x:c r="S19" s="184"/>
      <x:c r="T19" s="184"/>
      <x:c r="U19" s="184"/>
    </x:row>
    <x:row r="20">
      <x:c r="A20" s="184"/>
      <x:c r="B20" s="184"/>
      <x:c r="C20" s="184"/>
      <x:c r="D20" s="184"/>
      <x:c r="E20" s="184"/>
      <x:c r="F20" s="184"/>
      <x:c r="G20" s="184"/>
      <x:c r="H20" s="184"/>
      <x:c r="I20" s="184"/>
      <x:c r="J20" s="184"/>
      <x:c r="K20" s="184"/>
      <x:c r="L20" s="184"/>
      <x:c r="M20" s="184"/>
      <x:c r="N20" s="184"/>
      <x:c r="O20" s="184"/>
      <x:c r="P20" s="184"/>
      <x:c r="Q20" s="184"/>
      <x:c r="R20" s="184"/>
      <x:c r="S20" s="184"/>
      <x:c r="T20" s="184"/>
      <x:c r="U20" s="184"/>
    </x:row>
    <x:row r="21">
      <x:c r="A21" s="184"/>
      <x:c r="B21" s="184"/>
      <x:c r="C21" s="184"/>
      <x:c r="D21" s="184"/>
      <x:c r="E21" s="184"/>
      <x:c r="F21" s="184"/>
      <x:c r="G21" s="184"/>
      <x:c r="H21" s="184"/>
      <x:c r="I21" s="184"/>
      <x:c r="J21" s="184"/>
      <x:c r="K21" s="184"/>
      <x:c r="L21" s="184"/>
      <x:c r="M21" s="184"/>
      <x:c r="N21" s="184"/>
      <x:c r="O21" s="184"/>
      <x:c r="P21" s="184"/>
      <x:c r="Q21" s="184"/>
      <x:c r="R21" s="184"/>
      <x:c r="S21" s="184"/>
      <x:c r="T21" s="184"/>
      <x:c r="U21" s="184"/>
    </x:row>
    <x:row r="22">
      <x:c r="A22" s="176" t="str">
        <x:v>期间</x:v>
      </x:c>
      <x:c r="B22" s="176" t="str">
        <x:v>报告归母净利润</x:v>
      </x:c>
      <x:c r="C22" s="176" t="str">
        <x:v>资产减值</x:v>
      </x:c>
      <x:c r="D22" s="176" t="str">
        <x:v>股份支付</x:v>
      </x:c>
      <x:c r="E22" s="176" t="str">
        <x:v>汇兑影响</x:v>
      </x:c>
      <x:c r="F22" s="176" t="str">
        <x:v>经营观察值</x:v>
      </x:c>
      <x:c r="G22" s="176" t="str">
        <x:v>完全机械还原值</x:v>
      </x:c>
      <x:c r="H22" s="184"/>
      <x:c r="I22" s="184"/>
      <x:c r="J22" s="184"/>
      <x:c r="K22" s="184"/>
      <x:c r="L22" s="184"/>
      <x:c r="M22" s="184"/>
      <x:c r="N22" s="184"/>
      <x:c r="O22" s="184"/>
      <x:c r="P22" s="184"/>
      <x:c r="Q22" s="184"/>
      <x:c r="R22" s="184"/>
      <x:c r="S22" s="184"/>
      <x:c r="T22" s="184"/>
      <x:c r="U22" s="184"/>
    </x:row>
    <x:row r="23">
      <x:c r="A23" s="177" t="str">
        <x:v>2026H1</x:v>
      </x:c>
      <x:c r="B23" s="193" t="n">
        <x:v>-0.672288</x:v>
      </x:c>
      <x:c r="C23" s="193" t="n">
        <x:v>0.663811</x:v>
      </x:c>
      <x:c r="D23" s="193" t="n">
        <x:v>0.370824</x:v>
      </x:c>
      <x:c r="E23" s="193" t="n">
        <x:v>0.066222</x:v>
      </x:c>
      <x:c r="F23" s="193" t="n">
        <x:v>0.027116</x:v>
      </x:c>
      <x:c r="G23" s="193" t="n">
        <x:v>0.380911</x:v>
      </x:c>
      <x:c r="H23" s="184"/>
      <x:c r="I23" s="184"/>
      <x:c r="J23" s="184"/>
      <x:c r="K23" s="184"/>
      <x:c r="L23" s="184"/>
      <x:c r="M23" s="184"/>
      <x:c r="N23" s="184"/>
      <x:c r="O23" s="184"/>
      <x:c r="P23" s="184"/>
      <x:c r="Q23" s="184"/>
      <x:c r="R23" s="184"/>
      <x:c r="S23" s="184"/>
      <x:c r="T23" s="184"/>
      <x:c r="U23" s="184"/>
    </x:row>
    <x:row r="24">
      <x:c r="A24" s="177" t="str">
        <x:v>2025H1</x:v>
      </x:c>
      <x:c r="B24" s="193" t="n">
        <x:v>-0.249407</x:v>
      </x:c>
      <x:c r="C24" s="193" t="n">
        <x:v>0.165662</x:v>
      </x:c>
      <x:c r="D24" s="193" t="n">
        <x:v>0.18225</x:v>
      </x:c>
      <x:c r="E24" s="193" t="n">
        <x:v>-0.139303</x:v>
      </x:c>
      <x:c r="F24" s="193" t="n">
        <x:v>-0.0705</x:v>
      </x:c>
      <x:c r="G24" s="193" t="n">
        <x:v>-0.040798</x:v>
      </x:c>
      <x:c r="H24" s="184"/>
      <x:c r="I24" s="184"/>
      <x:c r="J24" s="184"/>
      <x:c r="K24" s="184"/>
      <x:c r="L24" s="184"/>
      <x:c r="M24" s="184"/>
      <x:c r="N24" s="184"/>
      <x:c r="O24" s="184"/>
      <x:c r="P24" s="184"/>
      <x:c r="Q24" s="184"/>
      <x:c r="R24" s="184"/>
      <x:c r="S24" s="184"/>
      <x:c r="T24" s="184"/>
      <x:c r="U24" s="184"/>
    </x:row>
    <x:row r="25">
      <x:c r="A25" s="184"/>
      <x:c r="B25" s="184"/>
      <x:c r="C25" s="184"/>
      <x:c r="D25" s="184"/>
      <x:c r="E25" s="184"/>
      <x:c r="F25" s="184"/>
      <x:c r="G25" s="184"/>
      <x:c r="H25" s="184"/>
      <x:c r="I25" s="184"/>
      <x:c r="J25" s="184"/>
      <x:c r="K25" s="184"/>
      <x:c r="L25" s="184"/>
      <x:c r="M25" s="184"/>
      <x:c r="N25" s="184"/>
      <x:c r="O25" s="184"/>
      <x:c r="P25" s="184"/>
      <x:c r="Q25" s="184"/>
      <x:c r="R25" s="184"/>
      <x:c r="S25" s="184"/>
      <x:c r="T25" s="184"/>
      <x:c r="U25" s="184"/>
    </x:row>
    <x:row r="26">
      <x:c r="A26" s="184"/>
      <x:c r="B26" s="184"/>
      <x:c r="C26" s="184"/>
      <x:c r="D26" s="184"/>
      <x:c r="E26" s="184"/>
      <x:c r="F26" s="184"/>
      <x:c r="G26" s="184"/>
      <x:c r="H26" s="184"/>
      <x:c r="I26" s="184"/>
      <x:c r="J26" s="184"/>
      <x:c r="K26" s="184"/>
      <x:c r="L26" s="184"/>
      <x:c r="M26" s="184"/>
      <x:c r="N26" s="184"/>
      <x:c r="O26" s="184"/>
      <x:c r="P26" s="184"/>
      <x:c r="Q26" s="184"/>
      <x:c r="R26" s="184"/>
      <x:c r="S26" s="184"/>
      <x:c r="T26" s="184"/>
      <x:c r="U26" s="184"/>
    </x:row>
    <x:row r="27">
      <x:c r="A27" s="184"/>
      <x:c r="B27" s="184"/>
      <x:c r="C27" s="184"/>
      <x:c r="D27" s="184"/>
      <x:c r="E27" s="184"/>
      <x:c r="F27" s="184"/>
      <x:c r="G27" s="184"/>
      <x:c r="H27" s="184"/>
      <x:c r="I27" s="184"/>
      <x:c r="J27" s="184"/>
      <x:c r="K27" s="184"/>
      <x:c r="L27" s="184"/>
      <x:c r="M27" s="184"/>
      <x:c r="N27" s="184"/>
      <x:c r="O27" s="184"/>
      <x:c r="P27" s="184"/>
      <x:c r="Q27" s="184"/>
      <x:c r="R27" s="184"/>
      <x:c r="S27" s="184"/>
      <x:c r="T27" s="184"/>
      <x:c r="U27" s="189" t="str">
        <x:v> </x:v>
      </x:c>
    </x:row>
  </x:sheetData>
  <x:mergeCells>
    <x:mergeCell ref="A1:T1"/>
    <x:mergeCell ref="A2:T2"/>
    <x:mergeCell ref="A10:K10"/>
    <x:mergeCell ref="A13:D13"/>
  </x:mergeCells>
  <x:pageMargins left="0.7" right="0.7" top="0.75" bottom="0.75" header="0.3" footer="0.3"/>
  <x:drawing xmlns:r="http://schemas.openxmlformats.org/officeDocument/2006/relationships" r:id="Rc8410688df8a48f0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2" customHeight="1">
      <x:c r="A1" s="172" t="str">
        <x:v>2025—2030 AI算力与光互联需求趋势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172"/>
      <x:c r="Q1" s="172"/>
      <x:c r="R1" s="172"/>
      <x:c r="S1" s="172"/>
      <x:c r="T1" s="172"/>
      <x:c r="U1" s="184"/>
    </x:row>
    <x:row r="2" ht="28" customHeight="1">
      <x:c r="A2" s="174" t="str">
        <x:v>从CoWoS产能与AI加速器出货，推演高速光连接需求；400G—1.6T为模块，3.2T采用光引擎参考映射。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174"/>
      <x:c r="Q2" s="174"/>
      <x:c r="R2" s="174"/>
      <x:c r="S2" s="174"/>
      <x:c r="T2" s="174"/>
      <x:c r="U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 s="184"/>
      <x:c r="P3" s="184"/>
      <x:c r="Q3" s="184"/>
      <x:c r="R3" s="184"/>
      <x:c r="S3" s="184"/>
      <x:c r="T3" s="184"/>
      <x:c r="U3" s="184"/>
    </x:row>
    <x:row r="4">
      <x:c r="A4" s="176" t="str">
        <x:v>年份</x:v>
      </x:c>
      <x:c r="B4" s="176" t="str">
        <x:v>CoWoS年末产能（千片/月）</x:v>
      </x:c>
      <x:c r="C4" s="176" t="str">
        <x:v>AI加速器出货（百万颗）</x:v>
      </x:c>
      <x:c r="D4" s="176" t="str">
        <x:v>每颗加速器光连接单元（个）</x:v>
      </x:c>
      <x:c r="E4" s="176" t="str">
        <x:v>400G模块（百万只）</x:v>
      </x:c>
      <x:c r="F4" s="176" t="str">
        <x:v>800G模块（百万只）</x:v>
      </x:c>
      <x:c r="G4" s="176" t="str">
        <x:v>1.6T模块（百万只）</x:v>
      </x:c>
      <x:c r="H4" s="176" t="str">
        <x:v>3.2T光引擎参考需求（百万个）</x:v>
      </x:c>
      <x:c r="I4" s="176" t="str">
        <x:v>高速光连接合计（百万个）</x:v>
      </x:c>
      <x:c r="J4" s="176" t="str">
        <x:v>1.6T及以上占比</x:v>
      </x:c>
      <x:c r="K4" s="176" t="str">
        <x:v>端口带宽（Eb/s）</x:v>
      </x:c>
      <x:c r="L4" s="184"/>
      <x:c r="M4" s="184"/>
      <x:c r="N4" s="176" t="str">
        <x:v>年份</x:v>
      </x:c>
      <x:c r="O4" s="176" t="str">
        <x:v>400G</x:v>
      </x:c>
      <x:c r="P4" s="176" t="str">
        <x:v>800G</x:v>
      </x:c>
      <x:c r="Q4" s="176" t="str">
        <x:v>1.6T</x:v>
      </x:c>
      <x:c r="R4" s="176" t="str">
        <x:v>3.2T光引擎参考</x:v>
      </x:c>
      <x:c r="S4" s="184"/>
      <x:c r="T4" s="184"/>
      <x:c r="U4" s="184"/>
    </x:row>
    <x:row r="5">
      <x:c r="A5" s="177" t="n">
        <x:v>2025</x:v>
      </x:c>
      <x:c r="B5" s="199" t="n">
        <x:v>75</x:v>
      </x:c>
      <x:c r="C5" s="200" t="n">
        <x:v>11.9</x:v>
      </x:c>
      <x:c r="D5" s="195" t="n">
        <x:f>I5/C5</x:f>
        <x:v>2.957983193277311</x:v>
      </x:c>
      <x:c r="E5" s="199" t="n">
        <x:v>15</x:v>
      </x:c>
      <x:c r="F5" s="199" t="n">
        <x:v>19</x:v>
      </x:c>
      <x:c r="G5" s="199" t="n">
        <x:v>1.2</x:v>
      </x:c>
      <x:c r="H5" s="199" t="n">
        <x:v>0</x:v>
      </x:c>
      <x:c r="I5" s="195" t="n">
        <x:f>SUM(E5:H5)</x:f>
        <x:v>35.2</x:v>
      </x:c>
      <x:c r="J5" s="190" t="n">
        <x:f>ROUND((G5+H5)/I5,3)</x:f>
        <x:v>0.034</x:v>
      </x:c>
      <x:c r="K5" s="195" t="n">
        <x:f>ROUND(E5*0.4+F5*0.8+G5*1.6+H5*3.2,2)</x:f>
        <x:v>23.12</x:v>
      </x:c>
      <x:c r="L5" s="184"/>
      <x:c r="M5" s="184"/>
      <x:c r="N5" s="177" t="n">
        <x:f>A5</x:f>
        <x:v>2025</x:v>
      </x:c>
      <x:c r="O5" s="177" t="n">
        <x:f>E5</x:f>
        <x:v>15</x:v>
      </x:c>
      <x:c r="P5" s="177" t="n">
        <x:f>F5</x:f>
        <x:v>19</x:v>
      </x:c>
      <x:c r="Q5" s="177" t="n">
        <x:f>G5</x:f>
        <x:v>1.2</x:v>
      </x:c>
      <x:c r="R5" s="177" t="n">
        <x:f>H5</x:f>
        <x:v>0</x:v>
      </x:c>
      <x:c r="S5" s="184"/>
      <x:c r="T5" s="184"/>
      <x:c r="U5" s="184"/>
    </x:row>
    <x:row r="6">
      <x:c r="A6" s="177" t="n">
        <x:v>2026</x:v>
      </x:c>
      <x:c r="B6" s="199" t="n">
        <x:v>127</x:v>
      </x:c>
      <x:c r="C6" s="200" t="n">
        <x:v>19.005</x:v>
      </x:c>
      <x:c r="D6" s="195" t="n">
        <x:f>I6/C6</x:f>
        <x:v>4.600894501446988</x:v>
      </x:c>
      <x:c r="E6" s="199" t="n">
        <x:v>12</x:v>
      </x:c>
      <x:c r="F6" s="199" t="n">
        <x:v>56</x:v>
      </x:c>
      <x:c r="G6" s="199" t="n">
        <x:v>18.8</x:v>
      </x:c>
      <x:c r="H6" s="199" t="n">
        <x:v>0.64</x:v>
      </x:c>
      <x:c r="I6" s="195" t="n">
        <x:f>SUM(E6:H6)</x:f>
        <x:v>87.44</x:v>
      </x:c>
      <x:c r="J6" s="190" t="n">
        <x:f>ROUND((G6+H6)/I6,3)</x:f>
        <x:v>0.222</x:v>
      </x:c>
      <x:c r="K6" s="195" t="n">
        <x:f>ROUND(E6*0.4+F6*0.8+G6*1.6+H6*3.2,2)</x:f>
        <x:v>81.73</x:v>
      </x:c>
      <x:c r="L6" s="184"/>
      <x:c r="M6" s="184"/>
      <x:c r="N6" s="177" t="n">
        <x:f>A6</x:f>
        <x:v>2026</x:v>
      </x:c>
      <x:c r="O6" s="177" t="n">
        <x:f>E6</x:f>
        <x:v>12</x:v>
      </x:c>
      <x:c r="P6" s="177" t="n">
        <x:f>F6</x:f>
        <x:v>56</x:v>
      </x:c>
      <x:c r="Q6" s="177" t="n">
        <x:f>G6</x:f>
        <x:v>18.8</x:v>
      </x:c>
      <x:c r="R6" s="177" t="n">
        <x:f>H6</x:f>
        <x:v>0.64</x:v>
      </x:c>
      <x:c r="S6" s="184"/>
      <x:c r="T6" s="184"/>
      <x:c r="U6" s="184"/>
    </x:row>
    <x:row r="7">
      <x:c r="A7" s="177" t="n">
        <x:v>2027</x:v>
      </x:c>
      <x:c r="B7" s="199" t="n">
        <x:v>180</x:v>
      </x:c>
      <x:c r="C7" s="200" t="n">
        <x:v>27.21</x:v>
      </x:c>
      <x:c r="D7" s="195" t="n">
        <x:f>I7/C7</x:f>
        <x:v>5.273796398382947</x:v>
      </x:c>
      <x:c r="E7" s="199" t="n">
        <x:v>3</x:v>
      </x:c>
      <x:c r="F7" s="199" t="n">
        <x:v>72.5</x:v>
      </x:c>
      <x:c r="G7" s="199" t="n">
        <x:v>64</x:v>
      </x:c>
      <x:c r="H7" s="199" t="n">
        <x:v>4</x:v>
      </x:c>
      <x:c r="I7" s="195" t="n">
        <x:f>SUM(E7:H7)</x:f>
        <x:v>143.5</x:v>
      </x:c>
      <x:c r="J7" s="190" t="n">
        <x:f>ROUND((G7+H7)/I7,3)</x:f>
        <x:v>0.474</x:v>
      </x:c>
      <x:c r="K7" s="195" t="n">
        <x:f>ROUND(E7*0.4+F7*0.8+G7*1.6+H7*3.2,2)</x:f>
        <x:v>174.4</x:v>
      </x:c>
      <x:c r="L7" s="184"/>
      <x:c r="M7" s="184"/>
      <x:c r="N7" s="177" t="n">
        <x:f>A7</x:f>
        <x:v>2027</x:v>
      </x:c>
      <x:c r="O7" s="177" t="n">
        <x:f>E7</x:f>
        <x:v>3</x:v>
      </x:c>
      <x:c r="P7" s="177" t="n">
        <x:f>F7</x:f>
        <x:v>72.5</x:v>
      </x:c>
      <x:c r="Q7" s="177" t="n">
        <x:f>G7</x:f>
        <x:v>64</x:v>
      </x:c>
      <x:c r="R7" s="177" t="n">
        <x:f>H7</x:f>
        <x:v>4</x:v>
      </x:c>
      <x:c r="S7" s="184"/>
      <x:c r="T7" s="184"/>
      <x:c r="U7" s="184"/>
    </x:row>
    <x:row r="8">
      <x:c r="A8" s="177" t="n">
        <x:v>2028</x:v>
      </x:c>
      <x:c r="B8" s="199" t="n">
        <x:v>210</x:v>
      </x:c>
      <x:c r="C8" s="200" t="n">
        <x:v>31.1</x:v>
      </x:c>
      <x:c r="D8" s="195" t="n">
        <x:f>I8/C8</x:f>
        <x:v>5.3999999999999995</x:v>
      </x:c>
      <x:c r="E8" s="199" t="n">
        <x:v>1</x:v>
      </x:c>
      <x:c r="F8" s="199" t="n">
        <x:v>50</x:v>
      </x:c>
      <x:c r="G8" s="199" t="n">
        <x:v>105</x:v>
      </x:c>
      <x:c r="H8" s="199" t="n">
        <x:v>11.94</x:v>
      </x:c>
      <x:c r="I8" s="195" t="n">
        <x:f>SUM(E8:H8)</x:f>
        <x:v>167.94</x:v>
      </x:c>
      <x:c r="J8" s="190" t="n">
        <x:f>ROUND((G8+H8)/I8,3)</x:f>
        <x:v>0.696</x:v>
      </x:c>
      <x:c r="K8" s="195" t="n">
        <x:f>ROUND(E8*0.4+F8*0.8+G8*1.6+H8*3.2,2)</x:f>
        <x:v>246.61</x:v>
      </x:c>
      <x:c r="L8" s="184"/>
      <x:c r="M8" s="184"/>
      <x:c r="N8" s="177" t="n">
        <x:f>A8</x:f>
        <x:v>2028</x:v>
      </x:c>
      <x:c r="O8" s="177" t="n">
        <x:f>E8</x:f>
        <x:v>1</x:v>
      </x:c>
      <x:c r="P8" s="177" t="n">
        <x:f>F8</x:f>
        <x:v>50</x:v>
      </x:c>
      <x:c r="Q8" s="177" t="n">
        <x:f>G8</x:f>
        <x:v>105</x:v>
      </x:c>
      <x:c r="R8" s="177" t="n">
        <x:f>H8</x:f>
        <x:v>11.94</x:v>
      </x:c>
      <x:c r="S8" s="184"/>
      <x:c r="T8" s="184"/>
      <x:c r="U8" s="184"/>
    </x:row>
    <x:row r="9">
      <x:c r="A9" s="177" t="n">
        <x:v>2029</x:v>
      </x:c>
      <x:c r="B9" s="199" t="n">
        <x:v>235</x:v>
      </x:c>
      <x:c r="C9" s="200" t="n">
        <x:v>37.1</x:v>
      </x:c>
      <x:c r="D9" s="195" t="n">
        <x:f>I9/C9</x:f>
        <x:v>5.8</x:v>
      </x:c>
      <x:c r="E9" s="199" t="n">
        <x:v>0</x:v>
      </x:c>
      <x:c r="F9" s="199" t="n">
        <x:v>32</x:v>
      </x:c>
      <x:c r="G9" s="199" t="n">
        <x:v>145</x:v>
      </x:c>
      <x:c r="H9" s="199" t="n">
        <x:v>38.18</x:v>
      </x:c>
      <x:c r="I9" s="195" t="n">
        <x:f>SUM(E9:H9)</x:f>
        <x:v>215.18</x:v>
      </x:c>
      <x:c r="J9" s="190" t="n">
        <x:f>ROUND((G9+H9)/I9,3)</x:f>
        <x:v>0.851</x:v>
      </x:c>
      <x:c r="K9" s="195" t="n">
        <x:f>ROUND(E9*0.4+F9*0.8+G9*1.6+H9*3.2,2)</x:f>
        <x:v>379.78</x:v>
      </x:c>
      <x:c r="L9" s="184"/>
      <x:c r="M9" s="184"/>
      <x:c r="N9" s="177" t="n">
        <x:f>A9</x:f>
        <x:v>2029</x:v>
      </x:c>
      <x:c r="O9" s="177" t="n">
        <x:f>E9</x:f>
        <x:v>0</x:v>
      </x:c>
      <x:c r="P9" s="177" t="n">
        <x:f>F9</x:f>
        <x:v>32</x:v>
      </x:c>
      <x:c r="Q9" s="177" t="n">
        <x:f>G9</x:f>
        <x:v>145</x:v>
      </x:c>
      <x:c r="R9" s="177" t="n">
        <x:f>H9</x:f>
        <x:v>38.18</x:v>
      </x:c>
      <x:c r="S9" s="184"/>
      <x:c r="T9" s="184"/>
      <x:c r="U9" s="184"/>
    </x:row>
    <x:row r="10">
      <x:c r="A10" s="177" t="n">
        <x:v>2030</x:v>
      </x:c>
      <x:c r="B10" s="199" t="n">
        <x:v>260</x:v>
      </x:c>
      <x:c r="C10" s="200" t="n">
        <x:v>43.1</x:v>
      </x:c>
      <x:c r="D10" s="195" t="n">
        <x:f>I10/C10</x:f>
        <x:v>6.2</x:v>
      </x:c>
      <x:c r="E10" s="199" t="n">
        <x:v>0</x:v>
      </x:c>
      <x:c r="F10" s="199" t="n">
        <x:v>18</x:v>
      </x:c>
      <x:c r="G10" s="199" t="n">
        <x:v>160</x:v>
      </x:c>
      <x:c r="H10" s="199" t="n">
        <x:v>89.22</x:v>
      </x:c>
      <x:c r="I10" s="195" t="n">
        <x:f>SUM(E10:H10)</x:f>
        <x:v>267.22</x:v>
      </x:c>
      <x:c r="J10" s="190" t="n">
        <x:f>ROUND((G10+H10)/I10,3)</x:f>
        <x:v>0.933</x:v>
      </x:c>
      <x:c r="K10" s="195" t="n">
        <x:f>ROUND(E10*0.4+F10*0.8+G10*1.6+H10*3.2,2)</x:f>
        <x:v>555.9</x:v>
      </x:c>
      <x:c r="L10" s="184"/>
      <x:c r="M10" s="184"/>
      <x:c r="N10" s="177" t="n">
        <x:f>A10</x:f>
        <x:v>2030</x:v>
      </x:c>
      <x:c r="O10" s="177" t="n">
        <x:f>E10</x:f>
        <x:v>0</x:v>
      </x:c>
      <x:c r="P10" s="177" t="n">
        <x:f>F10</x:f>
        <x:v>18</x:v>
      </x:c>
      <x:c r="Q10" s="177" t="n">
        <x:f>G10</x:f>
        <x:v>160</x:v>
      </x:c>
      <x:c r="R10" s="177" t="n">
        <x:f>H10</x:f>
        <x:v>89.22</x:v>
      </x:c>
      <x:c r="S10" s="184"/>
      <x:c r="T10" s="184"/>
      <x:c r="U10" s="184"/>
    </x:row>
    <x:row r="11">
      <x:c r="A11" s="184"/>
      <x:c r="B11" s="184"/>
      <x:c r="C11" s="184"/>
      <x:c r="D11" s="184"/>
      <x:c r="E11" s="184"/>
      <x:c r="F11" s="184"/>
      <x:c r="G11" s="184"/>
      <x:c r="H11" s="184"/>
      <x:c r="I11" s="184"/>
      <x:c r="J11" s="184"/>
      <x:c r="K11" s="184"/>
      <x:c r="L11" s="184"/>
      <x:c r="M11" s="184"/>
      <x:c r="N11" s="184"/>
      <x:c r="O11" s="184"/>
      <x:c r="P11" s="184"/>
      <x:c r="Q11" s="184"/>
      <x:c r="R11" s="184"/>
      <x:c r="S11" s="184"/>
      <x:c r="T11" s="184"/>
      <x:c r="U11" s="184"/>
    </x:row>
    <x:row r="12">
      <x:c r="A12" s="176" t="str">
        <x:v>2025—2030累计变化</x:v>
      </x:c>
      <x:c r="B12" s="176" t="str">
        <x:v>CoWoS产能</x:v>
      </x:c>
      <x:c r="C12" s="176" t="str">
        <x:v>AI加速器</x:v>
      </x:c>
      <x:c r="D12" s="176" t="str">
        <x:v>光连接单元数量</x:v>
      </x:c>
      <x:c r="E12" s="176" t="str">
        <x:v>端口带宽</x:v>
      </x:c>
      <x:c r="F12" s="176" t="str">
        <x:v>1.6T+占比提升</x:v>
      </x:c>
      <x:c r="G12" s="184"/>
      <x:c r="H12" s="184"/>
      <x:c r="I12" s="184"/>
      <x:c r="J12" s="184"/>
      <x:c r="K12" s="184"/>
      <x:c r="L12" s="184"/>
      <x:c r="M12" s="184"/>
      <x:c r="N12" s="184"/>
      <x:c r="O12" s="184"/>
      <x:c r="P12" s="184"/>
      <x:c r="Q12" s="184"/>
      <x:c r="R12" s="184"/>
      <x:c r="S12" s="184"/>
      <x:c r="T12" s="184"/>
      <x:c r="U12" s="184"/>
    </x:row>
    <x:row r="13">
      <x:c r="A13" s="177" t="str">
        <x:v>倍数/百分点</x:v>
      </x:c>
      <x:c r="B13" s="201" t="n">
        <x:f>B10/B5</x:f>
        <x:v>3.466666666666667</x:v>
      </x:c>
      <x:c r="C13" s="201" t="n">
        <x:f>C10/C5</x:f>
        <x:v>3.6218487394957983</x:v>
      </x:c>
      <x:c r="D13" s="201" t="n">
        <x:f>I10/I5</x:f>
        <x:v>7.591477272727273</x:v>
      </x:c>
      <x:c r="E13" s="201" t="n">
        <x:f>K10/K5</x:f>
        <x:v>24.044117647058822</x:v>
      </x:c>
      <x:c r="F13" s="190" t="n">
        <x:f>J10-J5</x:f>
        <x:v>0.899</x:v>
      </x:c>
      <x:c r="G13" s="184"/>
      <x:c r="H13" s="184"/>
      <x:c r="I13" s="184"/>
      <x:c r="J13" s="184"/>
      <x:c r="K13" s="184"/>
      <x:c r="L13" s="184"/>
      <x:c r="M13" s="184"/>
      <x:c r="N13" s="184"/>
      <x:c r="O13" s="184"/>
      <x:c r="P13" s="184"/>
      <x:c r="Q13" s="184"/>
      <x:c r="R13" s="184"/>
      <x:c r="S13" s="184"/>
      <x:c r="T13" s="184"/>
      <x:c r="U13" s="184"/>
    </x:row>
    <x:row r="14">
      <x:c r="A14" s="184"/>
      <x:c r="B14" s="184"/>
      <x:c r="C14" s="184"/>
      <x:c r="D14" s="184"/>
      <x:c r="E14" s="184"/>
      <x:c r="F14" s="184"/>
      <x:c r="G14" s="184"/>
      <x:c r="H14" s="184"/>
      <x:c r="I14" s="184"/>
      <x:c r="J14" s="184"/>
      <x:c r="K14" s="184"/>
      <x:c r="L14" s="184"/>
      <x:c r="M14" s="184"/>
      <x:c r="N14" s="184"/>
      <x:c r="O14" s="184"/>
      <x:c r="P14" s="184"/>
      <x:c r="Q14" s="184"/>
      <x:c r="R14" s="184"/>
      <x:c r="S14" s="184"/>
      <x:c r="T14" s="184"/>
      <x:c r="U14" s="184"/>
    </x:row>
    <x:row r="15" ht="58" customHeight="1">
      <x:c r="A15" s="187" t="str">
        <x:v>华鑫AI研究整理。3.2T：2026年按2万台CPO系统×32个光引擎补充估算，2027年采用产业供需预测400万个，2028—2030年衔接AI总量模型外推。3.2T按光引擎BOM参考映射，不代表全行业3.2T产品均为同一种封装。</x:v>
      </x:c>
      <x:c r="B15" s="187"/>
      <x:c r="C15" s="187"/>
      <x:c r="D15" s="187"/>
      <x:c r="E15" s="187"/>
      <x:c r="F15" s="187"/>
      <x:c r="G15" s="187"/>
      <x:c r="H15" s="187"/>
      <x:c r="I15" s="187"/>
      <x:c r="J15" s="187"/>
      <x:c r="K15" s="187"/>
      <x:c r="L15" s="184"/>
      <x:c r="M15" s="184"/>
      <x:c r="N15" s="184"/>
      <x:c r="O15" s="184"/>
      <x:c r="P15" s="184"/>
      <x:c r="Q15" s="184"/>
      <x:c r="R15" s="184"/>
      <x:c r="S15" s="184"/>
      <x:c r="T15" s="184"/>
      <x:c r="U15" s="184"/>
    </x:row>
    <x:row r="16">
      <x:c r="A16" s="184"/>
      <x:c r="B16" s="184"/>
      <x:c r="C16" s="184"/>
      <x:c r="D16" s="184"/>
      <x:c r="E16" s="184"/>
      <x:c r="F16" s="184"/>
      <x:c r="G16" s="184"/>
      <x:c r="H16" s="184"/>
      <x:c r="I16" s="184"/>
      <x:c r="J16" s="184"/>
      <x:c r="K16" s="184"/>
      <x:c r="L16" s="184"/>
      <x:c r="M16" s="184"/>
      <x:c r="N16" s="184"/>
      <x:c r="O16" s="184"/>
      <x:c r="P16" s="184"/>
      <x:c r="Q16" s="184"/>
      <x:c r="R16" s="184"/>
      <x:c r="S16" s="184"/>
      <x:c r="T16" s="184"/>
      <x:c r="U16" s="184"/>
    </x:row>
    <x:row r="17">
      <x:c r="A17" s="184"/>
      <x:c r="B17" s="184"/>
      <x:c r="C17" s="184"/>
      <x:c r="D17" s="184"/>
      <x:c r="E17" s="184"/>
      <x:c r="F17" s="184"/>
      <x:c r="G17" s="184"/>
      <x:c r="H17" s="184"/>
      <x:c r="I17" s="184"/>
      <x:c r="J17" s="184"/>
      <x:c r="K17" s="184"/>
      <x:c r="L17" s="184"/>
      <x:c r="M17" s="184"/>
      <x:c r="N17" s="184"/>
      <x:c r="O17" s="184"/>
      <x:c r="P17" s="184"/>
      <x:c r="Q17" s="184"/>
      <x:c r="R17" s="184"/>
      <x:c r="S17" s="184"/>
      <x:c r="T17" s="184"/>
      <x:c r="U17" s="184"/>
    </x:row>
    <x:row r="18">
      <x:c r="A18" s="184"/>
      <x:c r="B18" s="184"/>
      <x:c r="C18" s="184"/>
      <x:c r="D18" s="184"/>
      <x:c r="E18" s="184"/>
      <x:c r="F18" s="184"/>
      <x:c r="G18" s="184"/>
      <x:c r="H18" s="184"/>
      <x:c r="I18" s="184"/>
      <x:c r="J18" s="184"/>
      <x:c r="K18" s="184"/>
      <x:c r="L18" s="184"/>
      <x:c r="M18" s="184"/>
      <x:c r="N18" s="184"/>
      <x:c r="O18" s="184"/>
      <x:c r="P18" s="184"/>
      <x:c r="Q18" s="184"/>
      <x:c r="R18" s="184"/>
      <x:c r="S18" s="184"/>
      <x:c r="T18" s="184"/>
      <x:c r="U18" s="184"/>
    </x:row>
    <x:row r="19">
      <x:c r="A19" s="184"/>
      <x:c r="B19" s="184"/>
      <x:c r="C19" s="184"/>
      <x:c r="D19" s="184"/>
      <x:c r="E19" s="184"/>
      <x:c r="F19" s="184"/>
      <x:c r="G19" s="184"/>
      <x:c r="H19" s="184"/>
      <x:c r="I19" s="184"/>
      <x:c r="J19" s="184"/>
      <x:c r="K19" s="184"/>
      <x:c r="L19" s="184"/>
      <x:c r="M19" s="184"/>
      <x:c r="N19" s="184"/>
      <x:c r="O19" s="184"/>
      <x:c r="P19" s="184"/>
      <x:c r="Q19" s="184"/>
      <x:c r="R19" s="184"/>
      <x:c r="S19" s="184"/>
      <x:c r="T19" s="184"/>
      <x:c r="U19" s="184"/>
    </x:row>
    <x:row r="20">
      <x:c r="A20" s="184"/>
      <x:c r="B20" s="184"/>
      <x:c r="C20" s="184"/>
      <x:c r="D20" s="184"/>
      <x:c r="E20" s="184"/>
      <x:c r="F20" s="184"/>
      <x:c r="G20" s="184"/>
      <x:c r="H20" s="184"/>
      <x:c r="I20" s="184"/>
      <x:c r="J20" s="184"/>
      <x:c r="K20" s="184"/>
      <x:c r="L20" s="184"/>
      <x:c r="M20" s="184"/>
      <x:c r="N20" s="184"/>
      <x:c r="O20" s="184"/>
      <x:c r="P20" s="184"/>
      <x:c r="Q20" s="184"/>
      <x:c r="R20" s="184"/>
      <x:c r="S20" s="184"/>
      <x:c r="T20" s="184"/>
      <x:c r="U20" s="184"/>
    </x:row>
    <x:row r="21">
      <x:c r="A21" s="184"/>
      <x:c r="B21" s="184"/>
      <x:c r="C21" s="184"/>
      <x:c r="D21" s="184"/>
      <x:c r="E21" s="184"/>
      <x:c r="F21" s="184"/>
      <x:c r="G21" s="184"/>
      <x:c r="H21" s="184"/>
      <x:c r="I21" s="184"/>
      <x:c r="J21" s="184"/>
      <x:c r="K21" s="184"/>
      <x:c r="L21" s="184"/>
      <x:c r="M21" s="184"/>
      <x:c r="N21" s="184"/>
      <x:c r="O21" s="184"/>
      <x:c r="P21" s="184"/>
      <x:c r="Q21" s="184"/>
      <x:c r="R21" s="184"/>
      <x:c r="S21" s="184"/>
      <x:c r="T21" s="184"/>
      <x:c r="U21" s="184"/>
    </x:row>
    <x:row r="22">
      <x:c r="A22" s="184"/>
      <x:c r="B22" s="184"/>
      <x:c r="C22" s="184"/>
      <x:c r="D22" s="184"/>
      <x:c r="E22" s="184"/>
      <x:c r="F22" s="184"/>
      <x:c r="G22" s="184"/>
      <x:c r="H22" s="184"/>
      <x:c r="I22" s="184"/>
      <x:c r="J22" s="184"/>
      <x:c r="K22" s="184"/>
      <x:c r="L22" s="184"/>
      <x:c r="M22" s="184"/>
      <x:c r="N22" s="184"/>
      <x:c r="O22" s="184"/>
      <x:c r="P22" s="184"/>
      <x:c r="Q22" s="184"/>
      <x:c r="R22" s="184"/>
      <x:c r="S22" s="184"/>
      <x:c r="T22" s="184"/>
      <x:c r="U22" s="184"/>
    </x:row>
    <x:row r="23">
      <x:c r="A23" s="184"/>
      <x:c r="B23" s="184"/>
      <x:c r="C23" s="184"/>
      <x:c r="D23" s="184"/>
      <x:c r="E23" s="184"/>
      <x:c r="F23" s="184"/>
      <x:c r="G23" s="184"/>
      <x:c r="H23" s="184"/>
      <x:c r="I23" s="184"/>
      <x:c r="J23" s="184"/>
      <x:c r="K23" s="184"/>
      <x:c r="L23" s="184"/>
      <x:c r="M23" s="184"/>
      <x:c r="N23" s="184"/>
      <x:c r="O23" s="184"/>
      <x:c r="P23" s="184"/>
      <x:c r="Q23" s="184"/>
      <x:c r="R23" s="184"/>
      <x:c r="S23" s="184"/>
      <x:c r="T23" s="184"/>
      <x:c r="U23" s="184"/>
    </x:row>
    <x:row r="24">
      <x:c r="A24" s="184"/>
      <x:c r="B24" s="184"/>
      <x:c r="C24" s="184"/>
      <x:c r="D24" s="184"/>
      <x:c r="E24" s="184"/>
      <x:c r="F24" s="184"/>
      <x:c r="G24" s="184"/>
      <x:c r="H24" s="184"/>
      <x:c r="I24" s="184"/>
      <x:c r="J24" s="184"/>
      <x:c r="K24" s="184"/>
      <x:c r="L24" s="184"/>
      <x:c r="M24" s="184"/>
      <x:c r="N24" s="184"/>
      <x:c r="O24" s="184"/>
      <x:c r="P24" s="184"/>
      <x:c r="Q24" s="184"/>
      <x:c r="R24" s="184"/>
      <x:c r="S24" s="184"/>
      <x:c r="T24" s="184"/>
      <x:c r="U24" s="184"/>
    </x:row>
    <x:row r="25">
      <x:c r="A25" s="184"/>
      <x:c r="B25" s="184"/>
      <x:c r="C25" s="184"/>
      <x:c r="D25" s="184"/>
      <x:c r="E25" s="184"/>
      <x:c r="F25" s="184"/>
      <x:c r="G25" s="184"/>
      <x:c r="H25" s="184"/>
      <x:c r="I25" s="184"/>
      <x:c r="J25" s="184"/>
      <x:c r="K25" s="184"/>
      <x:c r="L25" s="184"/>
      <x:c r="M25" s="184"/>
      <x:c r="N25" s="184"/>
      <x:c r="O25" s="184"/>
      <x:c r="P25" s="184"/>
      <x:c r="Q25" s="184"/>
      <x:c r="R25" s="184"/>
      <x:c r="S25" s="184"/>
      <x:c r="T25" s="184"/>
      <x:c r="U25" s="184"/>
    </x:row>
    <x:row r="26">
      <x:c r="A26" s="184"/>
      <x:c r="B26" s="184"/>
      <x:c r="C26" s="184"/>
      <x:c r="D26" s="184"/>
      <x:c r="E26" s="184"/>
      <x:c r="F26" s="184"/>
      <x:c r="G26" s="184"/>
      <x:c r="H26" s="184"/>
      <x:c r="I26" s="184"/>
      <x:c r="J26" s="184"/>
      <x:c r="K26" s="184"/>
      <x:c r="L26" s="184"/>
      <x:c r="M26" s="184"/>
      <x:c r="N26" s="184"/>
      <x:c r="O26" s="184"/>
      <x:c r="P26" s="184"/>
      <x:c r="Q26" s="184"/>
      <x:c r="R26" s="184"/>
      <x:c r="S26" s="184"/>
      <x:c r="T26" s="184"/>
      <x:c r="U26" s="184"/>
    </x:row>
    <x:row r="27">
      <x:c r="A27" s="184"/>
      <x:c r="B27" s="184"/>
      <x:c r="C27" s="184"/>
      <x:c r="D27" s="184"/>
      <x:c r="E27" s="184"/>
      <x:c r="F27" s="184"/>
      <x:c r="G27" s="184"/>
      <x:c r="H27" s="184"/>
      <x:c r="I27" s="184"/>
      <x:c r="J27" s="184"/>
      <x:c r="K27" s="184"/>
      <x:c r="L27" s="184"/>
      <x:c r="M27" s="184"/>
      <x:c r="N27" s="184"/>
      <x:c r="O27" s="184"/>
      <x:c r="P27" s="184"/>
      <x:c r="Q27" s="184"/>
      <x:c r="R27" s="184"/>
      <x:c r="S27" s="184"/>
      <x:c r="T27" s="184"/>
      <x:c r="U27" s="184"/>
    </x:row>
    <x:row r="28">
      <x:c r="A28" s="184"/>
      <x:c r="B28" s="184"/>
      <x:c r="C28" s="184"/>
      <x:c r="D28" s="184"/>
      <x:c r="E28" s="184"/>
      <x:c r="F28" s="184"/>
      <x:c r="G28" s="184"/>
      <x:c r="H28" s="184"/>
      <x:c r="I28" s="184"/>
      <x:c r="J28" s="184"/>
      <x:c r="K28" s="184"/>
      <x:c r="L28" s="184"/>
      <x:c r="M28" s="184"/>
      <x:c r="N28" s="184"/>
      <x:c r="O28" s="184"/>
      <x:c r="P28" s="184"/>
      <x:c r="Q28" s="184"/>
      <x:c r="R28" s="184"/>
      <x:c r="S28" s="184"/>
      <x:c r="T28" s="184"/>
      <x:c r="U28" s="184"/>
    </x:row>
    <x:row r="29">
      <x:c r="A29" s="184"/>
      <x:c r="B29" s="184"/>
      <x:c r="C29" s="184"/>
      <x:c r="D29" s="184"/>
      <x:c r="E29" s="184"/>
      <x:c r="F29" s="184"/>
      <x:c r="G29" s="184"/>
      <x:c r="H29" s="184"/>
      <x:c r="I29" s="184"/>
      <x:c r="J29" s="184"/>
      <x:c r="K29" s="184"/>
      <x:c r="L29" s="184"/>
      <x:c r="M29" s="184"/>
      <x:c r="N29" s="184"/>
      <x:c r="O29" s="184"/>
      <x:c r="P29" s="184"/>
      <x:c r="Q29" s="184"/>
      <x:c r="R29" s="184"/>
      <x:c r="S29" s="184"/>
      <x:c r="T29" s="184"/>
      <x:c r="U29" s="184"/>
    </x:row>
    <x:row r="30">
      <x:c r="A30" s="184"/>
      <x:c r="B30" s="184"/>
      <x:c r="C30" s="184"/>
      <x:c r="D30" s="184"/>
      <x:c r="E30" s="184"/>
      <x:c r="F30" s="184"/>
      <x:c r="G30" s="184"/>
      <x:c r="H30" s="184"/>
      <x:c r="I30" s="184"/>
      <x:c r="J30" s="184"/>
      <x:c r="K30" s="184"/>
      <x:c r="L30" s="184"/>
      <x:c r="M30" s="184"/>
      <x:c r="N30" s="184"/>
      <x:c r="O30" s="184"/>
      <x:c r="P30" s="184"/>
      <x:c r="Q30" s="184"/>
      <x:c r="R30" s="184"/>
      <x:c r="S30" s="184"/>
      <x:c r="T30" s="184"/>
      <x:c r="U30" s="184"/>
    </x:row>
    <x:row r="31">
      <x:c r="A31" s="184"/>
      <x:c r="B31" s="184"/>
      <x:c r="C31" s="184"/>
      <x:c r="D31" s="184"/>
      <x:c r="E31" s="184"/>
      <x:c r="F31" s="184"/>
      <x:c r="G31" s="184"/>
      <x:c r="H31" s="184"/>
      <x:c r="I31" s="184"/>
      <x:c r="J31" s="184"/>
      <x:c r="K31" s="184"/>
      <x:c r="L31" s="184"/>
      <x:c r="M31" s="184"/>
      <x:c r="N31" s="184"/>
      <x:c r="O31" s="184"/>
      <x:c r="P31" s="184"/>
      <x:c r="Q31" s="184"/>
      <x:c r="R31" s="184"/>
      <x:c r="S31" s="184"/>
      <x:c r="T31" s="184"/>
      <x:c r="U31" s="184"/>
    </x:row>
    <x:row r="32">
      <x:c r="A32" s="184"/>
      <x:c r="B32" s="184"/>
      <x:c r="C32" s="184"/>
      <x:c r="D32" s="184"/>
      <x:c r="E32" s="184"/>
      <x:c r="F32" s="184"/>
      <x:c r="G32" s="184"/>
      <x:c r="H32" s="184"/>
      <x:c r="I32" s="184"/>
      <x:c r="J32" s="184"/>
      <x:c r="K32" s="184"/>
      <x:c r="L32" s="184"/>
      <x:c r="M32" s="184"/>
      <x:c r="N32" s="184"/>
      <x:c r="O32" s="184"/>
      <x:c r="P32" s="184"/>
      <x:c r="Q32" s="184"/>
      <x:c r="R32" s="184"/>
      <x:c r="S32" s="184"/>
      <x:c r="T32" s="184"/>
      <x:c r="U32" s="184"/>
    </x:row>
    <x:row r="33">
      <x:c r="A33" s="184"/>
      <x:c r="B33" s="184"/>
      <x:c r="C33" s="184"/>
      <x:c r="D33" s="184"/>
      <x:c r="E33" s="184"/>
      <x:c r="F33" s="184"/>
      <x:c r="G33" s="184"/>
      <x:c r="H33" s="184"/>
      <x:c r="I33" s="184"/>
      <x:c r="J33" s="184"/>
      <x:c r="K33" s="184"/>
      <x:c r="L33" s="184"/>
      <x:c r="M33" s="184"/>
      <x:c r="N33" s="184"/>
      <x:c r="O33" s="184"/>
      <x:c r="P33" s="184"/>
      <x:c r="Q33" s="184"/>
      <x:c r="R33" s="184"/>
      <x:c r="S33" s="184"/>
      <x:c r="T33" s="184"/>
      <x:c r="U33" s="184"/>
    </x:row>
    <x:row r="34">
      <x:c r="A34" s="184"/>
      <x:c r="B34" s="184"/>
      <x:c r="C34" s="184"/>
      <x:c r="D34" s="184"/>
      <x:c r="E34" s="184"/>
      <x:c r="F34" s="184"/>
      <x:c r="G34" s="184"/>
      <x:c r="H34" s="184"/>
      <x:c r="I34" s="184"/>
      <x:c r="J34" s="184"/>
      <x:c r="K34" s="184"/>
      <x:c r="L34" s="184"/>
      <x:c r="M34" s="184"/>
      <x:c r="N34" s="184"/>
      <x:c r="O34" s="184"/>
      <x:c r="P34" s="184"/>
      <x:c r="Q34" s="184"/>
      <x:c r="R34" s="184"/>
      <x:c r="S34" s="184"/>
      <x:c r="T34" s="184"/>
      <x:c r="U34" s="184"/>
    </x:row>
    <x:row r="35">
      <x:c r="A35" s="184"/>
      <x:c r="B35" s="184"/>
      <x:c r="C35" s="184"/>
      <x:c r="D35" s="184"/>
      <x:c r="E35" s="184"/>
      <x:c r="F35" s="184"/>
      <x:c r="G35" s="184"/>
      <x:c r="H35" s="184"/>
      <x:c r="I35" s="184"/>
      <x:c r="J35" s="184"/>
      <x:c r="K35" s="184"/>
      <x:c r="L35" s="184"/>
      <x:c r="M35" s="184"/>
      <x:c r="N35" s="184"/>
      <x:c r="O35" s="184"/>
      <x:c r="P35" s="184"/>
      <x:c r="Q35" s="184"/>
      <x:c r="R35" s="184"/>
      <x:c r="S35" s="184"/>
      <x:c r="T35" s="184"/>
      <x:c r="U35" s="184"/>
    </x:row>
    <x:row r="36">
      <x:c r="A36" s="184"/>
      <x:c r="B36" s="184"/>
      <x:c r="C36" s="184"/>
      <x:c r="D36" s="184"/>
      <x:c r="E36" s="184"/>
      <x:c r="F36" s="184"/>
      <x:c r="G36" s="184"/>
      <x:c r="H36" s="184"/>
      <x:c r="I36" s="184"/>
      <x:c r="J36" s="184"/>
      <x:c r="K36" s="184"/>
      <x:c r="L36" s="184"/>
      <x:c r="M36" s="184"/>
      <x:c r="N36" s="184"/>
      <x:c r="O36" s="184"/>
      <x:c r="P36" s="184"/>
      <x:c r="Q36" s="184"/>
      <x:c r="R36" s="184"/>
      <x:c r="S36" s="184"/>
      <x:c r="T36" s="184"/>
      <x:c r="U36" s="184"/>
    </x:row>
    <x:row r="37">
      <x:c r="A37" s="184"/>
      <x:c r="B37" s="184"/>
      <x:c r="C37" s="184"/>
      <x:c r="D37" s="184"/>
      <x:c r="E37" s="184"/>
      <x:c r="F37" s="184"/>
      <x:c r="G37" s="184"/>
      <x:c r="H37" s="184"/>
      <x:c r="I37" s="184"/>
      <x:c r="J37" s="184"/>
      <x:c r="K37" s="184"/>
      <x:c r="L37" s="184"/>
      <x:c r="M37" s="184"/>
      <x:c r="N37" s="184"/>
      <x:c r="O37" s="184"/>
      <x:c r="P37" s="184"/>
      <x:c r="Q37" s="184"/>
      <x:c r="R37" s="184"/>
      <x:c r="S37" s="184"/>
      <x:c r="T37" s="184"/>
      <x:c r="U37" s="184"/>
    </x:row>
    <x:row r="38">
      <x:c r="A38" s="184"/>
      <x:c r="B38" s="184"/>
      <x:c r="C38" s="184"/>
      <x:c r="D38" s="184"/>
      <x:c r="E38" s="184"/>
      <x:c r="F38" s="184"/>
      <x:c r="G38" s="184"/>
      <x:c r="H38" s="184"/>
      <x:c r="I38" s="184"/>
      <x:c r="J38" s="184"/>
      <x:c r="K38" s="184"/>
      <x:c r="L38" s="184"/>
      <x:c r="M38" s="184"/>
      <x:c r="N38" s="184"/>
      <x:c r="O38" s="184"/>
      <x:c r="P38" s="184"/>
      <x:c r="Q38" s="184"/>
      <x:c r="R38" s="184"/>
      <x:c r="S38" s="184"/>
      <x:c r="T38" s="184"/>
      <x:c r="U38" s="184"/>
    </x:row>
    <x:row r="39">
      <x:c r="A39" s="184"/>
      <x:c r="B39" s="184"/>
      <x:c r="C39" s="184"/>
      <x:c r="D39" s="184"/>
      <x:c r="E39" s="184"/>
      <x:c r="F39" s="184"/>
      <x:c r="G39" s="184"/>
      <x:c r="H39" s="184"/>
      <x:c r="I39" s="184"/>
      <x:c r="J39" s="184"/>
      <x:c r="K39" s="184"/>
      <x:c r="L39" s="184"/>
      <x:c r="M39" s="184"/>
      <x:c r="N39" s="184"/>
      <x:c r="O39" s="184"/>
      <x:c r="P39" s="184"/>
      <x:c r="Q39" s="184"/>
      <x:c r="R39" s="184"/>
      <x:c r="S39" s="184"/>
      <x:c r="T39" s="184"/>
      <x:c r="U39" s="184"/>
    </x:row>
    <x:row r="40">
      <x:c r="A40" s="184"/>
      <x:c r="B40" s="184"/>
      <x:c r="C40" s="184"/>
      <x:c r="D40" s="184"/>
      <x:c r="E40" s="184"/>
      <x:c r="F40" s="184"/>
      <x:c r="G40" s="184"/>
      <x:c r="H40" s="184"/>
      <x:c r="I40" s="184"/>
      <x:c r="J40" s="184"/>
      <x:c r="K40" s="184"/>
      <x:c r="L40" s="184"/>
      <x:c r="M40" s="184"/>
      <x:c r="N40" s="184"/>
      <x:c r="O40" s="184"/>
      <x:c r="P40" s="184"/>
      <x:c r="Q40" s="184"/>
      <x:c r="R40" s="184"/>
      <x:c r="S40" s="184"/>
      <x:c r="T40" s="184"/>
      <x:c r="U40" s="184"/>
    </x:row>
    <x:row r="41">
      <x:c r="A41" s="184"/>
      <x:c r="B41" s="184"/>
      <x:c r="C41" s="184"/>
      <x:c r="D41" s="184"/>
      <x:c r="E41" s="184"/>
      <x:c r="F41" s="184"/>
      <x:c r="G41" s="184"/>
      <x:c r="H41" s="184"/>
      <x:c r="I41" s="184"/>
      <x:c r="J41" s="184"/>
      <x:c r="K41" s="184"/>
      <x:c r="L41" s="184"/>
      <x:c r="M41" s="184"/>
      <x:c r="N41" s="184"/>
      <x:c r="O41" s="184"/>
      <x:c r="P41" s="184"/>
      <x:c r="Q41" s="184"/>
      <x:c r="R41" s="184"/>
      <x:c r="S41" s="184"/>
      <x:c r="T41" s="184"/>
      <x:c r="U41" s="184"/>
    </x:row>
    <x:row r="42">
      <x:c r="A42" s="184"/>
      <x:c r="B42" s="184"/>
      <x:c r="C42" s="184"/>
      <x:c r="D42" s="184"/>
      <x:c r="E42" s="184"/>
      <x:c r="F42" s="184"/>
      <x:c r="G42" s="184"/>
      <x:c r="H42" s="184"/>
      <x:c r="I42" s="184"/>
      <x:c r="J42" s="184"/>
      <x:c r="K42" s="184"/>
      <x:c r="L42" s="184"/>
      <x:c r="M42" s="184"/>
      <x:c r="N42" s="184"/>
      <x:c r="O42" s="184"/>
      <x:c r="P42" s="184"/>
      <x:c r="Q42" s="184"/>
      <x:c r="R42" s="184"/>
      <x:c r="S42" s="184"/>
      <x:c r="T42" s="184"/>
      <x:c r="U42" s="184"/>
    </x:row>
    <x:row r="43">
      <x:c r="A43" s="184"/>
      <x:c r="B43" s="184"/>
      <x:c r="C43" s="184"/>
      <x:c r="D43" s="184"/>
      <x:c r="E43" s="184"/>
      <x:c r="F43" s="184"/>
      <x:c r="G43" s="184"/>
      <x:c r="H43" s="184"/>
      <x:c r="I43" s="184"/>
      <x:c r="J43" s="184"/>
      <x:c r="K43" s="184"/>
      <x:c r="L43" s="184"/>
      <x:c r="M43" s="184"/>
      <x:c r="N43" s="184"/>
      <x:c r="O43" s="184"/>
      <x:c r="P43" s="184"/>
      <x:c r="Q43" s="184"/>
      <x:c r="R43" s="184"/>
      <x:c r="S43" s="184"/>
      <x:c r="T43" s="184"/>
      <x:c r="U43" s="184"/>
    </x:row>
    <x:row r="44">
      <x:c r="A44" s="184"/>
      <x:c r="B44" s="184"/>
      <x:c r="C44" s="184"/>
      <x:c r="D44" s="184"/>
      <x:c r="E44" s="184"/>
      <x:c r="F44" s="184"/>
      <x:c r="G44" s="184"/>
      <x:c r="H44" s="184"/>
      <x:c r="I44" s="184"/>
      <x:c r="J44" s="184"/>
      <x:c r="K44" s="184"/>
      <x:c r="L44" s="184"/>
      <x:c r="M44" s="184"/>
      <x:c r="N44" s="184"/>
      <x:c r="O44" s="184"/>
      <x:c r="P44" s="184"/>
      <x:c r="Q44" s="184"/>
      <x:c r="R44" s="184"/>
      <x:c r="S44" s="184"/>
      <x:c r="T44" s="184"/>
      <x:c r="U44" s="184"/>
    </x:row>
    <x:row r="45">
      <x:c r="A45" s="184"/>
      <x:c r="B45" s="184"/>
      <x:c r="C45" s="184"/>
      <x:c r="D45" s="184"/>
      <x:c r="E45" s="184"/>
      <x:c r="F45" s="184"/>
      <x:c r="G45" s="184"/>
      <x:c r="H45" s="184"/>
      <x:c r="I45" s="184"/>
      <x:c r="J45" s="184"/>
      <x:c r="K45" s="184"/>
      <x:c r="L45" s="184"/>
      <x:c r="M45" s="184"/>
      <x:c r="N45" s="184"/>
      <x:c r="O45" s="184"/>
      <x:c r="P45" s="184"/>
      <x:c r="Q45" s="184"/>
      <x:c r="R45" s="184"/>
      <x:c r="S45" s="184"/>
      <x:c r="T45" s="184"/>
      <x:c r="U45" s="184"/>
    </x:row>
    <x:row r="46">
      <x:c r="A46" s="184"/>
      <x:c r="B46" s="184"/>
      <x:c r="C46" s="184"/>
      <x:c r="D46" s="184"/>
      <x:c r="E46" s="184"/>
      <x:c r="F46" s="184"/>
      <x:c r="G46" s="184"/>
      <x:c r="H46" s="184"/>
      <x:c r="I46" s="184"/>
      <x:c r="J46" s="184"/>
      <x:c r="K46" s="184"/>
      <x:c r="L46" s="184"/>
      <x:c r="M46" s="184"/>
      <x:c r="N46" s="184"/>
      <x:c r="O46" s="184"/>
      <x:c r="P46" s="184"/>
      <x:c r="Q46" s="184"/>
      <x:c r="R46" s="184"/>
      <x:c r="S46" s="184"/>
      <x:c r="T46" s="184"/>
      <x:c r="U46" s="189" t="str">
        <x:v> </x:v>
      </x:c>
    </x:row>
  </x:sheetData>
  <x:mergeCells>
    <x:mergeCell ref="A1:T1"/>
    <x:mergeCell ref="A2:T2"/>
    <x:mergeCell ref="A15:K15"/>
  </x:mergeCells>
  <x:pageMargins left="0.7" right="0.7" top="0.75" bottom="0.75" header="0.3" footer="0.3"/>
  <x:drawing xmlns:r="http://schemas.openxmlformats.org/officeDocument/2006/relationships" r:id="Rbe0218cadd4f4718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8" hidden="0" customWidth="1"/>
    <x:col min="3" max="3" width="16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44" hidden="0" customWidth="1"/>
    <x:col min="11" max="11" width="14" hidden="0" customWidth="1"/>
    <x:col min="12" max="12" width="14" hidden="0" customWidth="1"/>
  </x:cols>
  <x:sheetData>
    <x:row r="1" ht="32" customHeight="1">
      <x:c r="A1" s="172" t="str">
        <x:v>光通信机会模型输入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84"/>
    </x:row>
    <x:row r="2" ht="28" customHeight="1">
      <x:c r="A2" s="174" t="str">
        <x:v>蓝底为量价份额假设。OCS与CPO/NPO微光学器件量产后-20%、此后年降10%；可插拔透镜年降10%，量测设备单价不作年度递减。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84"/>
    </x:row>
    <x:row r="3">
      <x:c r="A3" s="176" t="str">
        <x:v>参数ID</x:v>
      </x:c>
      <x:c r="B3" s="176" t="str">
        <x:v>名称</x:v>
      </x:c>
      <x:c r="C3" s="176" t="str">
        <x:v>单位</x:v>
      </x:c>
      <x:c r="D3" s="176" t="str">
        <x:v>口径</x:v>
      </x:c>
      <x:c r="E3" s="176" t="str">
        <x:v>2026E</x:v>
      </x:c>
      <x:c r="F3" s="176" t="str">
        <x:v>2027E</x:v>
      </x:c>
      <x:c r="G3" s="176" t="str">
        <x:v>2028E</x:v>
      </x:c>
      <x:c r="H3" s="176" t="str">
        <x:v>2029E</x:v>
      </x:c>
      <x:c r="I3" s="176" t="str">
        <x:v>2030E</x:v>
      </x:c>
      <x:c r="J3" s="176" t="str">
        <x:v>说明</x:v>
      </x:c>
      <x:c r="K3" s="176" t="str">
        <x:v>下限</x:v>
      </x:c>
      <x:c r="L3" s="176" t="str">
        <x:v>上限</x:v>
      </x:c>
      <x:c r="M3" s="184"/>
    </x:row>
    <x:row r="4">
      <x:c r="A4" s="177" t="str">
        <x:v>NET_MARGIN</x:v>
      </x:c>
      <x:c r="B4" s="177" t="str">
        <x:v>项目净利率</x:v>
      </x:c>
      <x:c r="C4" s="177" t="str">
        <x:v>%</x:v>
      </x:c>
      <x:c r="D4" s="177" t="str">
        <x:v>研究假设</x:v>
      </x:c>
      <x:c r="E4" s="202" t="n">
        <x:v>0.33</x:v>
      </x:c>
      <x:c r="F4" s="202" t="n">
        <x:v>0.33</x:v>
      </x:c>
      <x:c r="G4" s="202" t="n">
        <x:v>0.33</x:v>
      </x:c>
      <x:c r="H4" s="202" t="n">
        <x:v>0.33</x:v>
      </x:c>
      <x:c r="I4" s="202" t="n">
        <x:v>0.33</x:v>
      </x:c>
      <x:c r="J4" s="177" t="str">
        <x:v>项目经济性，不是合并净利率</x:v>
      </x:c>
      <x:c r="K4" s="177" t="n">
        <x:v>0</x:v>
      </x:c>
      <x:c r="L4" s="177" t="n">
        <x:v>0.5</x:v>
      </x:c>
      <x:c r="M4" s="184"/>
    </x:row>
    <x:row r="5">
      <x:c r="A5" s="177" t="str">
        <x:v>PRICE_SCHEDULE</x:v>
      </x:c>
      <x:c r="B5" s="177" t="str">
        <x:v>OCS/CPO器件年度价格系数</x:v>
      </x:c>
      <x:c r="C5" s="177" t="str">
        <x:v>x</x:v>
      </x:c>
      <x:c r="D5" s="177" t="str">
        <x:v>量产假设</x:v>
      </x:c>
      <x:c r="E5" s="203" t="n">
        <x:v>1</x:v>
      </x:c>
      <x:c r="F5" s="203" t="n">
        <x:v>0.8</x:v>
      </x:c>
      <x:c r="G5" s="203" t="n">
        <x:v>0.72</x:v>
      </x:c>
      <x:c r="H5" s="203" t="n">
        <x:v>0.648</x:v>
      </x:c>
      <x:c r="I5" s="203" t="n">
        <x:v>0.5832</x:v>
      </x:c>
      <x:c r="J5" s="177" t="str">
        <x:v>仅适用于OCS及CPO/NPO微光学器件；2027年-20%，此后年降10%</x:v>
      </x:c>
      <x:c r="K5" s="177" t="n">
        <x:v>0.4</x:v>
      </x:c>
      <x:c r="L5" s="177" t="n">
        <x:v>1.2</x:v>
      </x:c>
      <x:c r="M5" s="184"/>
    </x:row>
    <x:row r="6">
      <x:c r="A6" s="177" t="str">
        <x:v>PLG_USAGE</x:v>
      </x:c>
      <x:c r="B6" s="177" t="str">
        <x:v>单模块透镜用量</x:v>
      </x:c>
      <x:c r="C6" s="177" t="str">
        <x:v>只</x:v>
      </x:c>
      <x:c r="D6" s="177" t="str">
        <x:v>产品BOM</x:v>
      </x:c>
      <x:c r="E6" s="203" t="n">
        <x:v>10</x:v>
      </x:c>
      <x:c r="F6" s="203" t="n">
        <x:v>10</x:v>
      </x:c>
      <x:c r="G6" s="203" t="n">
        <x:v>10</x:v>
      </x:c>
      <x:c r="H6" s="203" t="n">
        <x:v>10</x:v>
      </x:c>
      <x:c r="I6" s="203" t="n">
        <x:v>10</x:v>
      </x:c>
      <x:c r="J6" s="177" t="str">
        <x:v>800G/1.6T</x:v>
      </x:c>
      <x:c r="K6" s="177" t="n">
        <x:v>0</x:v>
      </x:c>
      <x:c r="L6" s="177" t="n">
        <x:v>20</x:v>
      </x:c>
      <x:c r="M6" s="184"/>
    </x:row>
    <x:row r="7">
      <x:c r="A7" s="177" t="str">
        <x:v>PLG_800_DEMAND</x:v>
      </x:c>
      <x:c r="B7" s="177" t="str">
        <x:v>800G需求</x:v>
      </x:c>
      <x:c r="C7" s="177" t="str">
        <x:v>万只</x:v>
      </x:c>
      <x:c r="D7" s="177" t="str">
        <x:v>行业趋势</x:v>
      </x:c>
      <x:c r="E7" s="204" t="n">
        <x:f>'行业趋势'!F6*100</x:f>
        <x:v>5600</x:v>
      </x:c>
      <x:c r="F7" s="204" t="n">
        <x:f>'行业趋势'!F7*100</x:f>
        <x:v>7250</x:v>
      </x:c>
      <x:c r="G7" s="204" t="n">
        <x:f>'行业趋势'!F8*100</x:f>
        <x:v>5000</x:v>
      </x:c>
      <x:c r="H7" s="204" t="n">
        <x:f>'行业趋势'!F9*100</x:f>
        <x:v>3200</x:v>
      </x:c>
      <x:c r="I7" s="204" t="n">
        <x:f>'行业趋势'!F10*100</x:f>
        <x:v>1800</x:v>
      </x:c>
      <x:c r="J7" s="177" t="str">
        <x:v>关联行业趋势页800G数量：百万只×100</x:v>
      </x:c>
      <x:c r="K7" s="177" t="n">
        <x:v>0</x:v>
      </x:c>
      <x:c r="L7" s="177" t="n">
        <x:v>20000</x:v>
      </x:c>
      <x:c r="M7" s="184"/>
    </x:row>
    <x:row r="8">
      <x:c r="A8" s="177" t="str">
        <x:v>PLG_800_PRICE</x:v>
      </x:c>
      <x:c r="B8" s="177" t="str">
        <x:v>800G透镜初始单价</x:v>
      </x:c>
      <x:c r="C8" s="177" t="str">
        <x:v>元/只</x:v>
      </x:c>
      <x:c r="D8" s="177" t="str">
        <x:v>产业情景</x:v>
      </x:c>
      <x:c r="E8" s="203" t="n">
        <x:v>4</x:v>
      </x:c>
      <x:c r="F8" s="203" t="n">
        <x:v>4</x:v>
      </x:c>
      <x:c r="G8" s="203" t="n">
        <x:v>4</x:v>
      </x:c>
      <x:c r="H8" s="203" t="n">
        <x:v>4</x:v>
      </x:c>
      <x:c r="I8" s="203" t="n">
        <x:v>4</x:v>
      </x:c>
      <x:c r="J8" s="177" t="str">
        <x:v>初始价×可插拔年度价格系数</x:v>
      </x:c>
      <x:c r="K8" s="177" t="n">
        <x:v>0</x:v>
      </x:c>
      <x:c r="L8" s="177" t="n">
        <x:v>20</x:v>
      </x:c>
      <x:c r="M8" s="184"/>
    </x:row>
    <x:row r="9">
      <x:c r="A9" s="177" t="str">
        <x:v>PLG_16_DEMAND</x:v>
      </x:c>
      <x:c r="B9" s="177" t="str">
        <x:v>1.6T需求</x:v>
      </x:c>
      <x:c r="C9" s="177" t="str">
        <x:v>万只</x:v>
      </x:c>
      <x:c r="D9" s="177" t="str">
        <x:v>行业趋势</x:v>
      </x:c>
      <x:c r="E9" s="204" t="n">
        <x:f>'行业趋势'!G6*100</x:f>
        <x:v>1880</x:v>
      </x:c>
      <x:c r="F9" s="204" t="n">
        <x:f>'行业趋势'!G7*100</x:f>
        <x:v>6400</x:v>
      </x:c>
      <x:c r="G9" s="204" t="n">
        <x:f>'行业趋势'!G8*100</x:f>
        <x:v>10500</x:v>
      </x:c>
      <x:c r="H9" s="204" t="n">
        <x:f>'行业趋势'!G9*100</x:f>
        <x:v>14500</x:v>
      </x:c>
      <x:c r="I9" s="204" t="n">
        <x:f>'行业趋势'!G10*100</x:f>
        <x:v>16000</x:v>
      </x:c>
      <x:c r="J9" s="177" t="str">
        <x:v>关联行业趋势页1.6T数量：百万只×100</x:v>
      </x:c>
      <x:c r="K9" s="177" t="n">
        <x:v>0</x:v>
      </x:c>
      <x:c r="L9" s="177" t="n">
        <x:v>20000</x:v>
      </x:c>
      <x:c r="M9" s="184"/>
    </x:row>
    <x:row r="10">
      <x:c r="A10" s="177" t="str">
        <x:v>PLG_16_PRICE</x:v>
      </x:c>
      <x:c r="B10" s="177" t="str">
        <x:v>1.6T透镜初始单价</x:v>
      </x:c>
      <x:c r="C10" s="177" t="str">
        <x:v>元/只</x:v>
      </x:c>
      <x:c r="D10" s="177" t="str">
        <x:v>产业情景</x:v>
      </x:c>
      <x:c r="E10" s="203" t="n">
        <x:v>5.6</x:v>
      </x:c>
      <x:c r="F10" s="203" t="n">
        <x:v>5.6</x:v>
      </x:c>
      <x:c r="G10" s="203" t="n">
        <x:v>5.6</x:v>
      </x:c>
      <x:c r="H10" s="203" t="n">
        <x:v>5.6</x:v>
      </x:c>
      <x:c r="I10" s="203" t="n">
        <x:v>5.6</x:v>
      </x:c>
      <x:c r="J10" s="177" t="str">
        <x:v>初始价×可插拔年度价格系数</x:v>
      </x:c>
      <x:c r="K10" s="177" t="n">
        <x:v>0</x:v>
      </x:c>
      <x:c r="L10" s="177" t="n">
        <x:v>25</x:v>
      </x:c>
      <x:c r="M10" s="184"/>
    </x:row>
    <x:row r="11">
      <x:c r="A11" s="177" t="str">
        <x:v>PLG_SHARE</x:v>
      </x:c>
      <x:c r="B11" s="177" t="str">
        <x:v>可插拔公司份额</x:v>
      </x:c>
      <x:c r="C11" s="177" t="str">
        <x:v>%</x:v>
      </x:c>
      <x:c r="D11" s="177" t="str">
        <x:v>研究假设</x:v>
      </x:c>
      <x:c r="E11" s="202" t="n">
        <x:v>0.04</x:v>
      </x:c>
      <x:c r="F11" s="202" t="n">
        <x:v>0.09</x:v>
      </x:c>
      <x:c r="G11" s="202" t="n">
        <x:v>0.1</x:v>
      </x:c>
      <x:c r="H11" s="202" t="n">
        <x:v>0.1</x:v>
      </x:c>
      <x:c r="I11" s="202" t="n">
        <x:v>0.1</x:v>
      </x:c>
      <x:c r="J11" s="177" t="str">
        <x:v>可调</x:v>
      </x:c>
      <x:c r="K11" s="177" t="n">
        <x:v>0</x:v>
      </x:c>
      <x:c r="L11" s="177" t="n">
        <x:v>1</x:v>
      </x:c>
      <x:c r="M11" s="184"/>
    </x:row>
    <x:row r="12">
      <x:c r="A12" s="177" t="str">
        <x:v>OCS_DEMAND</x:v>
      </x:c>
      <x:c r="B12" s="177" t="str">
        <x:v>OCS总参考系统需求</x:v>
      </x:c>
      <x:c r="C12" s="177" t="str">
        <x:v>万台</x:v>
      </x:c>
      <x:c r="D12" s="177" t="str">
        <x:v>大小端口合计</x:v>
      </x:c>
      <x:c r="E12" s="203" t="n">
        <x:v>2</x:v>
      </x:c>
      <x:c r="F12" s="203" t="n">
        <x:v>10</x:v>
      </x:c>
      <x:c r="G12" s="203" t="n">
        <x:v>20</x:v>
      </x:c>
      <x:c r="H12" s="203" t="n">
        <x:v>32</x:v>
      </x:c>
      <x:c r="I12" s="203" t="n">
        <x:v>45</x:v>
      </x:c>
      <x:c r="J12" s="177" t="str">
        <x:v>按规格输入中的大端口占比拆分</x:v>
      </x:c>
      <x:c r="K12" s="177" t="n">
        <x:v>0</x:v>
      </x:c>
      <x:c r="L12" s="177" t="n">
        <x:v>60</x:v>
      </x:c>
      <x:c r="M12" s="184"/>
    </x:row>
    <x:row r="13">
      <x:c r="A13" s="177" t="str">
        <x:v>OCS_CHANNELS</x:v>
      </x:c>
      <x:c r="B13" s="177" t="str">
        <x:v>大端口总光通道/台</x:v>
      </x:c>
      <x:c r="C13" s="177" t="str">
        <x:v>总光通道</x:v>
      </x:c>
      <x:c r="D13" s="177" t="str">
        <x:v>320输入＋320输出</x:v>
      </x:c>
      <x:c r="E13" s="203" t="n">
        <x:v>640</x:v>
      </x:c>
      <x:c r="F13" s="203" t="n">
        <x:v>640</x:v>
      </x:c>
      <x:c r="G13" s="203" t="n">
        <x:v>640</x:v>
      </x:c>
      <x:c r="H13" s="203" t="n">
        <x:v>640</x:v>
      </x:c>
      <x:c r="I13" s="203" t="n">
        <x:v>640</x:v>
      </x:c>
      <x:c r="J13" s="177" t="str">
        <x:v>小端口通道数在规格输入E4</x:v>
      </x:c>
      <x:c r="K13" s="177" t="n">
        <x:v>0</x:v>
      </x:c>
      <x:c r="L13" s="177" t="n">
        <x:v>1000</x:v>
      </x:c>
      <x:c r="M13" s="184"/>
    </x:row>
    <x:row r="14">
      <x:c r="A14" s="177" t="str">
        <x:v>OCS_PRICE</x:v>
      </x:c>
      <x:c r="B14" s="177" t="str">
        <x:v>大端口OCS初始通道价</x:v>
      </x:c>
      <x:c r="C14" s="177" t="str">
        <x:v>元/总光通道</x:v>
      </x:c>
      <x:c r="D14" s="177" t="str">
        <x:v>引用基准情形</x:v>
      </x:c>
      <x:c r="E14" s="205" t="n">
        <x:f>$I$36</x:f>
        <x:v>40</x:v>
      </x:c>
      <x:c r="F14" s="205" t="n">
        <x:f>$I$36</x:f>
        <x:v>40</x:v>
      </x:c>
      <x:c r="G14" s="205" t="n">
        <x:f>$I$36</x:f>
        <x:v>40</x:v>
      </x:c>
      <x:c r="H14" s="205" t="n">
        <x:f>$I$36</x:f>
        <x:v>40</x:v>
      </x:c>
      <x:c r="I14" s="205" t="n">
        <x:f>$I$36</x:f>
        <x:v>40</x:v>
      </x:c>
      <x:c r="J14" s="177" t="str">
        <x:v>小端口情形初价见规格输入M5:M7</x:v>
      </x:c>
      <x:c r="K14" s="177"/>
      <x:c r="L14" s="177"/>
      <x:c r="M14" s="184"/>
    </x:row>
    <x:row r="15">
      <x:c r="A15" s="177" t="str">
        <x:v>OCS_SHARE</x:v>
      </x:c>
      <x:c r="B15" s="177" t="str">
        <x:v>OCS公司份额</x:v>
      </x:c>
      <x:c r="C15" s="177" t="str">
        <x:v>%</x:v>
      </x:c>
      <x:c r="D15" s="177" t="str">
        <x:v>研究假设</x:v>
      </x:c>
      <x:c r="E15" s="202" t="n">
        <x:v>0.9</x:v>
      </x:c>
      <x:c r="F15" s="202" t="n">
        <x:v>0.9</x:v>
      </x:c>
      <x:c r="G15" s="202" t="n">
        <x:v>0.8</x:v>
      </x:c>
      <x:c r="H15" s="202" t="n">
        <x:v>0.7</x:v>
      </x:c>
      <x:c r="I15" s="202" t="n">
        <x:v>0.6</x:v>
      </x:c>
      <x:c r="J15" s="177" t="str">
        <x:v>路线与客户集中敏感</x:v>
      </x:c>
      <x:c r="K15" s="177" t="n">
        <x:v>0</x:v>
      </x:c>
      <x:c r="L15" s="177" t="n">
        <x:v>1</x:v>
      </x:c>
      <x:c r="M15" s="184"/>
    </x:row>
    <x:row r="16">
      <x:c r="A16" s="177" t="str">
        <x:v>CPO_DEMAND</x:v>
      </x:c>
      <x:c r="B16" s="177" t="str">
        <x:v>CPO交换系统需求</x:v>
      </x:c>
      <x:c r="C16" s="177" t="str">
        <x:v>万台</x:v>
      </x:c>
      <x:c r="D16" s="177" t="str">
        <x:v>产业情景</x:v>
      </x:c>
      <x:c r="E16" s="203" t="n">
        <x:v>2</x:v>
      </x:c>
      <x:c r="F16" s="203" t="n">
        <x:v>20</x:v>
      </x:c>
      <x:c r="G16" s="203" t="n">
        <x:v>50</x:v>
      </x:c>
      <x:c r="H16" s="203" t="n">
        <x:v>85</x:v>
      </x:c>
      <x:c r="I16" s="203" t="n">
        <x:v>120</x:v>
      </x:c>
      <x:c r="J16" s="177" t="str">
        <x:v>NPO另用底层公式分析，不在本行重复加总</x:v>
      </x:c>
      <x:c r="K16" s="177" t="n">
        <x:v>0</x:v>
      </x:c>
      <x:c r="L16" s="177" t="n">
        <x:v>160</x:v>
      </x:c>
      <x:c r="M16" s="184"/>
    </x:row>
    <x:row r="17">
      <x:c r="A17" s="177" t="str">
        <x:v>VG_UNITS</x:v>
      </x:c>
      <x:c r="B17" s="177" t="str">
        <x:v>每台交换机FAU数量</x:v>
      </x:c>
      <x:c r="C17" s="177" t="str">
        <x:v>只/系统</x:v>
      </x:c>
      <x:c r="D17" s="177" t="str">
        <x:v>结构参数</x:v>
      </x:c>
      <x:c r="E17" s="203" t="n">
        <x:v>32</x:v>
      </x:c>
      <x:c r="F17" s="203" t="n">
        <x:v>32</x:v>
      </x:c>
      <x:c r="G17" s="203" t="n">
        <x:v>32</x:v>
      </x:c>
      <x:c r="H17" s="203" t="n">
        <x:v>32</x:v>
      </x:c>
      <x:c r="I17" s="203" t="n">
        <x:v>32</x:v>
      </x:c>
      <x:c r="J17" s="177" t="str">
        <x:v>所有CPO规格均为32只/系统</x:v>
      </x:c>
      <x:c r="K17" s="177" t="n">
        <x:v>0</x:v>
      </x:c>
      <x:c r="L17" s="177" t="n">
        <x:v>100</x:v>
      </x:c>
      <x:c r="M17" s="184"/>
    </x:row>
    <x:row r="18">
      <x:c r="A18" s="177" t="str">
        <x:v>VG_CHANNELS</x:v>
      </x:c>
      <x:c r="B18" s="177" t="str">
        <x:v>102.4T每FAU通道</x:v>
      </x:c>
      <x:c r="C18" s="177" t="str">
        <x:v>通道/只</x:v>
      </x:c>
      <x:c r="D18" s="177" t="str">
        <x:v>结构参数</x:v>
      </x:c>
      <x:c r="E18" s="203" t="n">
        <x:v>36</x:v>
      </x:c>
      <x:c r="F18" s="203" t="n">
        <x:v>36</x:v>
      </x:c>
      <x:c r="G18" s="203" t="n">
        <x:v>36</x:v>
      </x:c>
      <x:c r="H18" s="203" t="n">
        <x:v>36</x:v>
      </x:c>
      <x:c r="I18" s="203" t="n">
        <x:v>36</x:v>
      </x:c>
      <x:c r="J18" s="177" t="str">
        <x:v>204.8T每FAU通道见规格输入E9</x:v>
      </x:c>
      <x:c r="K18" s="177" t="n">
        <x:v>0</x:v>
      </x:c>
      <x:c r="L18" s="177" t="n">
        <x:v>150</x:v>
      </x:c>
      <x:c r="M18" s="184"/>
    </x:row>
    <x:row r="19">
      <x:c r="A19" s="177" t="str">
        <x:v>VG_PRICE</x:v>
      </x:c>
      <x:c r="B19" s="177" t="str">
        <x:v>V槽初始通道价</x:v>
      </x:c>
      <x:c r="C19" s="177" t="str">
        <x:v>元/通道</x:v>
      </x:c>
      <x:c r="D19" s="177" t="str">
        <x:v>产业情景</x:v>
      </x:c>
      <x:c r="E19" s="203" t="n">
        <x:v>11.2</x:v>
      </x:c>
      <x:c r="F19" s="203" t="n">
        <x:v>11.2</x:v>
      </x:c>
      <x:c r="G19" s="203" t="n">
        <x:v>11.2</x:v>
      </x:c>
      <x:c r="H19" s="203" t="n">
        <x:v>11.2</x:v>
      </x:c>
      <x:c r="I19" s="203" t="n">
        <x:v>11.2</x:v>
      </x:c>
      <x:c r="J19" s="177" t="str">
        <x:v>价格系数另行作用</x:v>
      </x:c>
      <x:c r="K19" s="177" t="n">
        <x:v>0</x:v>
      </x:c>
      <x:c r="L19" s="177" t="n">
        <x:v>25</x:v>
      </x:c>
      <x:c r="M19" s="184"/>
    </x:row>
    <x:row r="20">
      <x:c r="A20" s="177" t="str">
        <x:v>VG_SHARE</x:v>
      </x:c>
      <x:c r="B20" s="177" t="str">
        <x:v>V槽公司份额</x:v>
      </x:c>
      <x:c r="C20" s="177" t="str">
        <x:v>%</x:v>
      </x:c>
      <x:c r="D20" s="177" t="str">
        <x:v>研究假设</x:v>
      </x:c>
      <x:c r="E20" s="202" t="n">
        <x:v>0.45</x:v>
      </x:c>
      <x:c r="F20" s="202" t="n">
        <x:v>0.5</x:v>
      </x:c>
      <x:c r="G20" s="202" t="n">
        <x:v>0.55</x:v>
      </x:c>
      <x:c r="H20" s="202" t="n">
        <x:v>0.6</x:v>
      </x:c>
      <x:c r="I20" s="202" t="n">
        <x:v>0.65</x:v>
      </x:c>
      <x:c r="J20" s="177" t="str">
        <x:v>可调</x:v>
      </x:c>
      <x:c r="K20" s="177" t="n">
        <x:v>0</x:v>
      </x:c>
      <x:c r="L20" s="177" t="n">
        <x:v>1</x:v>
      </x:c>
      <x:c r="M20" s="184"/>
    </x:row>
    <x:row r="21">
      <x:c r="A21" s="177" t="str">
        <x:v>PRISM_UNITS</x:v>
      </x:c>
      <x:c r="B21" s="177" t="str">
        <x:v>FAU棱镜用量/系统</x:v>
      </x:c>
      <x:c r="C21" s="177" t="str">
        <x:v>只</x:v>
      </x:c>
      <x:c r="D21" s="177" t="str">
        <x:v>产品BOM</x:v>
      </x:c>
      <x:c r="E21" s="205" t="n">
        <x:f>E17</x:f>
        <x:v>32</x:v>
      </x:c>
      <x:c r="F21" s="205" t="n">
        <x:f>F17</x:f>
        <x:v>32</x:v>
      </x:c>
      <x:c r="G21" s="205" t="n">
        <x:f>G17</x:f>
        <x:v>32</x:v>
      </x:c>
      <x:c r="H21" s="205" t="n">
        <x:f>H17</x:f>
        <x:v>32</x:v>
      </x:c>
      <x:c r="I21" s="205" t="n">
        <x:f>I17</x:f>
        <x:v>32</x:v>
      </x:c>
      <x:c r="J21" s="177" t="str">
        <x:v>引用同一系统FAU数，避免两组独立数量</x:v>
      </x:c>
      <x:c r="K21" s="177" t="n">
        <x:v>0</x:v>
      </x:c>
      <x:c r="L21" s="177" t="n">
        <x:v>100</x:v>
      </x:c>
      <x:c r="M21" s="184"/>
    </x:row>
    <x:row r="22">
      <x:c r="A22" s="177" t="str">
        <x:v>PRISM_CHANNELS</x:v>
      </x:c>
      <x:c r="B22" s="177" t="str">
        <x:v>102.4T FAU棱镜通道数/只</x:v>
      </x:c>
      <x:c r="C22" s="177" t="str">
        <x:v>通道</x:v>
      </x:c>
      <x:c r="D22" s="177" t="str">
        <x:v>产品BOM</x:v>
      </x:c>
      <x:c r="E22" s="205" t="n">
        <x:f>E18</x:f>
        <x:v>36</x:v>
      </x:c>
      <x:c r="F22" s="205" t="n">
        <x:f>F18</x:f>
        <x:v>36</x:v>
      </x:c>
      <x:c r="G22" s="205" t="n">
        <x:f>G18</x:f>
        <x:v>36</x:v>
      </x:c>
      <x:c r="H22" s="205" t="n">
        <x:f>H18</x:f>
        <x:v>36</x:v>
      </x:c>
      <x:c r="I22" s="205" t="n">
        <x:f>I18</x:f>
        <x:v>36</x:v>
      </x:c>
      <x:c r="J22" s="177" t="str">
        <x:v>引用102.4T通道数；高规格另在规格输入中定义</x:v>
      </x:c>
      <x:c r="K22" s="177" t="n">
        <x:v>0</x:v>
      </x:c>
      <x:c r="L22" s="177" t="n">
        <x:v>150</x:v>
      </x:c>
      <x:c r="M22" s="184"/>
    </x:row>
    <x:row r="23">
      <x:c r="A23" s="177" t="str">
        <x:v>PRISM_PRICE</x:v>
      </x:c>
      <x:c r="B23" s="177" t="str">
        <x:v>FAU棱镜初始通道价</x:v>
      </x:c>
      <x:c r="C23" s="177" t="str">
        <x:v>元/通道</x:v>
      </x:c>
      <x:c r="D23" s="177" t="str">
        <x:v>产业情景</x:v>
      </x:c>
      <x:c r="E23" s="203" t="n">
        <x:v>16</x:v>
      </x:c>
      <x:c r="F23" s="203" t="n">
        <x:v>16</x:v>
      </x:c>
      <x:c r="G23" s="203" t="n">
        <x:v>16</x:v>
      </x:c>
      <x:c r="H23" s="203" t="n">
        <x:v>16</x:v>
      </x:c>
      <x:c r="I23" s="203" t="n">
        <x:v>16</x:v>
      </x:c>
      <x:c r="J23" s="177" t="str">
        <x:v>PIC端MPLA初始价24元/通道，不另加总</x:v>
      </x:c>
      <x:c r="K23" s="177" t="n">
        <x:v>0</x:v>
      </x:c>
      <x:c r="L23" s="177" t="n">
        <x:v>40</x:v>
      </x:c>
      <x:c r="M23" s="184"/>
    </x:row>
    <x:row r="24">
      <x:c r="A24" s="177" t="str">
        <x:v>PRISM_SHARE</x:v>
      </x:c>
      <x:c r="B24" s="177" t="str">
        <x:v>FAU棱镜公司份额</x:v>
      </x:c>
      <x:c r="C24" s="177" t="str">
        <x:v>%</x:v>
      </x:c>
      <x:c r="D24" s="177" t="str">
        <x:v>研究假设</x:v>
      </x:c>
      <x:c r="E24" s="206" t="n">
        <x:f>45%</x:f>
        <x:v>0.45</x:v>
      </x:c>
      <x:c r="F24" s="206" t="n">
        <x:f>45%</x:f>
        <x:v>0.45</x:v>
      </x:c>
      <x:c r="G24" s="206" t="n">
        <x:f>45%</x:f>
        <x:v>0.45</x:v>
      </x:c>
      <x:c r="H24" s="206" t="n">
        <x:f>45%</x:f>
        <x:v>0.45</x:v>
      </x:c>
      <x:c r="I24" s="206" t="n">
        <x:f>45%</x:f>
        <x:v>0.45</x:v>
      </x:c>
      <x:c r="J24" s="177" t="str">
        <x:v>固定45%，不乘情景份额倍率或高规格提升</x:v>
      </x:c>
      <x:c r="K24" s="177" t="n">
        <x:v>0</x:v>
      </x:c>
      <x:c r="L24" s="177" t="n">
        <x:v>1</x:v>
      </x:c>
      <x:c r="M24" s="184"/>
    </x:row>
    <x:row r="25">
      <x:c r="A25" s="177" t="str">
        <x:v>ELS_COUNT</x:v>
      </x:c>
      <x:c r="B25" s="177" t="str">
        <x:v>外置激光器数/系统</x:v>
      </x:c>
      <x:c r="C25" s="177" t="str">
        <x:v>个</x:v>
      </x:c>
      <x:c r="D25" s="177" t="str">
        <x:v>产品BOM</x:v>
      </x:c>
      <x:c r="E25" s="203" t="n">
        <x:v>128</x:v>
      </x:c>
      <x:c r="F25" s="203" t="n">
        <x:v>128</x:v>
      </x:c>
      <x:c r="G25" s="203" t="n">
        <x:v>128</x:v>
      </x:c>
      <x:c r="H25" s="203" t="n">
        <x:v>128</x:v>
      </x:c>
      <x:c r="I25" s="203" t="n">
        <x:v>128</x:v>
      </x:c>
      <x:c r="J25" s="177" t="str">
        <x:v>结构参数</x:v>
      </x:c>
      <x:c r="K25" s="177" t="n">
        <x:v>0</x:v>
      </x:c>
      <x:c r="L25" s="177" t="n">
        <x:v>256</x:v>
      </x:c>
      <x:c r="M25" s="184"/>
    </x:row>
    <x:row r="26">
      <x:c r="A26" s="177" t="str">
        <x:v>ELS_LENS_PRICE</x:v>
      </x:c>
      <x:c r="B26" s="177" t="str">
        <x:v>ELS透镜初始单价</x:v>
      </x:c>
      <x:c r="C26" s="177" t="str">
        <x:v>元/个</x:v>
      </x:c>
      <x:c r="D26" s="177" t="str">
        <x:v>产业情景</x:v>
      </x:c>
      <x:c r="E26" s="203" t="n">
        <x:v>40</x:v>
      </x:c>
      <x:c r="F26" s="203" t="n">
        <x:v>40</x:v>
      </x:c>
      <x:c r="G26" s="203" t="n">
        <x:v>40</x:v>
      </x:c>
      <x:c r="H26" s="203" t="n">
        <x:v>40</x:v>
      </x:c>
      <x:c r="I26" s="203" t="n">
        <x:v>40</x:v>
      </x:c>
      <x:c r="J26" s="177" t="str">
        <x:v>与热沉合并</x:v>
      </x:c>
      <x:c r="K26" s="177" t="n">
        <x:v>0</x:v>
      </x:c>
      <x:c r="L26" s="177" t="n">
        <x:v>100</x:v>
      </x:c>
      <x:c r="M26" s="184"/>
    </x:row>
    <x:row r="27">
      <x:c r="A27" s="177" t="str">
        <x:v>ELS_HEAT_PRICE</x:v>
      </x:c>
      <x:c r="B27" s="177" t="str">
        <x:v>ELS热沉初始单价</x:v>
      </x:c>
      <x:c r="C27" s="177" t="str">
        <x:v>元/个</x:v>
      </x:c>
      <x:c r="D27" s="177" t="str">
        <x:v>产业情景</x:v>
      </x:c>
      <x:c r="E27" s="203" t="n">
        <x:v>40</x:v>
      </x:c>
      <x:c r="F27" s="203" t="n">
        <x:v>40</x:v>
      </x:c>
      <x:c r="G27" s="203" t="n">
        <x:v>40</x:v>
      </x:c>
      <x:c r="H27" s="203" t="n">
        <x:v>40</x:v>
      </x:c>
      <x:c r="I27" s="203" t="n">
        <x:v>40</x:v>
      </x:c>
      <x:c r="J27" s="177" t="str">
        <x:v>与透镜合并</x:v>
      </x:c>
      <x:c r="K27" s="177" t="n">
        <x:v>0</x:v>
      </x:c>
      <x:c r="L27" s="177" t="n">
        <x:v>100</x:v>
      </x:c>
      <x:c r="M27" s="184"/>
    </x:row>
    <x:row r="28">
      <x:c r="A28" s="177" t="str">
        <x:v>ELS_SHARE</x:v>
      </x:c>
      <x:c r="B28" s="177" t="str">
        <x:v>ELS公司份额</x:v>
      </x:c>
      <x:c r="C28" s="177" t="str">
        <x:v>%</x:v>
      </x:c>
      <x:c r="D28" s="177" t="str">
        <x:v>研究假设</x:v>
      </x:c>
      <x:c r="E28" s="202" t="n">
        <x:v>0.45</x:v>
      </x:c>
      <x:c r="F28" s="202" t="n">
        <x:v>0.45</x:v>
      </x:c>
      <x:c r="G28" s="202" t="n">
        <x:v>0.43333333333333335</x:v>
      </x:c>
      <x:c r="H28" s="202" t="n">
        <x:v>0.4166666666666667</x:v>
      </x:c>
      <x:c r="I28" s="202" t="n">
        <x:v>0.4</x:v>
      </x:c>
      <x:c r="J28" s="177" t="str">
        <x:v>可调</x:v>
      </x:c>
      <x:c r="K28" s="177" t="n">
        <x:v>0</x:v>
      </x:c>
      <x:c r="L28" s="177" t="n">
        <x:v>1</x:v>
      </x:c>
      <x:c r="M28" s="184"/>
    </x:row>
    <x:row r="29">
      <x:c r="A29" s="177" t="str">
        <x:v>EQUIP_DEMAND</x:v>
      </x:c>
      <x:c r="B29" s="177" t="str">
        <x:v>FAU量测设备需求</x:v>
      </x:c>
      <x:c r="C29" s="177" t="str">
        <x:v>台</x:v>
      </x:c>
      <x:c r="D29" s="177" t="str">
        <x:v>产能推演</x:v>
      </x:c>
      <x:c r="E29" s="205" t="n">
        <x:f>E16*10000*E17/'规格输入'!$E$10</x:f>
        <x:v>640</x:v>
      </x:c>
      <x:c r="F29" s="205" t="n">
        <x:f>F16*10000*F17/'规格输入'!$E$10</x:f>
        <x:v>6400</x:v>
      </x:c>
      <x:c r="G29" s="205" t="n">
        <x:f>G16*10000*G17/'规格输入'!$E$10</x:f>
        <x:v>16000</x:v>
      </x:c>
      <x:c r="H29" s="205" t="n">
        <x:f>H16*10000*H17/'规格输入'!$E$10</x:f>
        <x:v>27200</x:v>
      </x:c>
      <x:c r="I29" s="205" t="n">
        <x:f>I16*10000*I17/'规格输入'!$E$10</x:f>
        <x:v>38400</x:v>
      </x:c>
      <x:c r="J29" s="177" t="str">
        <x:v>总CPO系统×每机FAU数÷每台设备覆盖FAU数；规格明细还按需求系数拆分</x:v>
      </x:c>
      <x:c r="K29" s="177" t="n">
        <x:v>0</x:v>
      </x:c>
      <x:c r="L29" s="177" t="n">
        <x:v>50000</x:v>
      </x:c>
      <x:c r="M29" s="184"/>
    </x:row>
    <x:row r="30">
      <x:c r="A30" s="177" t="str">
        <x:v>EQUIP_PRICE</x:v>
      </x:c>
      <x:c r="B30" s="177" t="str">
        <x:v>量测设备单价</x:v>
      </x:c>
      <x:c r="C30" s="177" t="str">
        <x:v>元/台</x:v>
      </x:c>
      <x:c r="D30" s="177" t="str">
        <x:v>产业情景</x:v>
      </x:c>
      <x:c r="E30" s="203" t="n">
        <x:v>80000</x:v>
      </x:c>
      <x:c r="F30" s="203" t="n">
        <x:v>80000</x:v>
      </x:c>
      <x:c r="G30" s="203" t="n">
        <x:v>80000</x:v>
      </x:c>
      <x:c r="H30" s="203" t="n">
        <x:v>80000</x:v>
      </x:c>
      <x:c r="I30" s="203" t="n">
        <x:v>80000</x:v>
      </x:c>
      <x:c r="J30" s="177" t="str">
        <x:v>维持各情形初始价格，不应用年度价格系数</x:v>
      </x:c>
      <x:c r="K30" s="177" t="n">
        <x:v>0</x:v>
      </x:c>
      <x:c r="L30" s="177" t="n">
        <x:v>300000</x:v>
      </x:c>
      <x:c r="M30" s="184"/>
    </x:row>
    <x:row r="31">
      <x:c r="A31" s="177" t="str">
        <x:v>EQUIP_SHARE</x:v>
      </x:c>
      <x:c r="B31" s="177" t="str">
        <x:v>量测设备公司份额</x:v>
      </x:c>
      <x:c r="C31" s="177" t="str">
        <x:v>%</x:v>
      </x:c>
      <x:c r="D31" s="177" t="str">
        <x:v>研究假设</x:v>
      </x:c>
      <x:c r="E31" s="202" t="n">
        <x:v>0.1</x:v>
      </x:c>
      <x:c r="F31" s="202" t="n">
        <x:v>0.3</x:v>
      </x:c>
      <x:c r="G31" s="202" t="n">
        <x:v>0.45</x:v>
      </x:c>
      <x:c r="H31" s="202" t="n">
        <x:v>0.5</x:v>
      </x:c>
      <x:c r="I31" s="202" t="n">
        <x:v>0.55</x:v>
      </x:c>
      <x:c r="J31" s="177" t="str">
        <x:v>可调</x:v>
      </x:c>
      <x:c r="K31" s="177" t="n">
        <x:v>0</x:v>
      </x:c>
      <x:c r="L31" s="177" t="n">
        <x:v>1</x:v>
      </x:c>
      <x:c r="M31" s="184"/>
    </x:row>
    <x:row r="32">
      <x:c r="A32" s="177" t="str">
        <x:v>PLG_PRICE_SCHEDULE</x:v>
      </x:c>
      <x:c r="B32" s="177" t="str">
        <x:v>可插拔年度价格系数</x:v>
      </x:c>
      <x:c r="C32" s="177" t="str">
        <x:v>x</x:v>
      </x:c>
      <x:c r="D32" s="177" t="str">
        <x:v>年降假设</x:v>
      </x:c>
      <x:c r="E32" s="207" t="n">
        <x:v>1</x:v>
      </x:c>
      <x:c r="F32" s="207" t="n">
        <x:v>0.9</x:v>
      </x:c>
      <x:c r="G32" s="207" t="n">
        <x:v>0.81</x:v>
      </x:c>
      <x:c r="H32" s="207" t="n">
        <x:v>0.729</x:v>
      </x:c>
      <x:c r="I32" s="207" t="n">
        <x:v>0.6561</x:v>
      </x:c>
      <x:c r="J32" s="177" t="str">
        <x:v>2026年为初始价，2027年起年降10%</x:v>
      </x:c>
      <x:c r="K32" s="177" t="n">
        <x:v>0</x:v>
      </x:c>
      <x:c r="L32" s="177" t="n">
        <x:v>1.2</x:v>
      </x:c>
      <x:c r="M32" s="184"/>
    </x:row>
    <x:row r="33">
      <x:c r="A33" s="184"/>
      <x:c r="B33" s="184"/>
      <x:c r="C33" s="184"/>
      <x:c r="D33" s="184"/>
      <x:c r="E33" s="184"/>
      <x:c r="F33" s="184"/>
      <x:c r="G33" s="184"/>
      <x:c r="H33" s="184"/>
      <x:c r="I33" s="184"/>
      <x:c r="J33" s="184"/>
      <x:c r="K33" s="184"/>
      <x:c r="L33" s="184"/>
      <x:c r="M33" s="184"/>
    </x:row>
    <x:row r="34">
      <x:c r="A34" s="176" t="str">
        <x:v>情景</x:v>
      </x:c>
      <x:c r="B34" s="176" t="str">
        <x:v>行业需求量系数</x:v>
      </x:c>
      <x:c r="C34" s="176" t="str">
        <x:v>其他产品初始价格</x:v>
      </x:c>
      <x:c r="D34" s="176" t="str">
        <x:v>2026份额倍率</x:v>
      </x:c>
      <x:c r="E34" s="176" t="str">
        <x:v>2027份额倍率</x:v>
      </x:c>
      <x:c r="F34" s="176" t="str">
        <x:v>2028份额倍率</x:v>
      </x:c>
      <x:c r="G34" s="176" t="str">
        <x:v>2029份额倍率</x:v>
      </x:c>
      <x:c r="H34" s="176" t="str">
        <x:v>2030份额倍率</x:v>
      </x:c>
      <x:c r="I34" s="176" t="str">
        <x:v>OCS初始价</x:v>
      </x:c>
      <x:c r="J34" s="184"/>
      <x:c r="K34" s="184"/>
      <x:c r="L34" s="184"/>
      <x:c r="M34" s="184"/>
    </x:row>
    <x:row r="35">
      <x:c r="A35" s="177" t="str">
        <x:v>审慎</x:v>
      </x:c>
      <x:c r="B35" s="202" t="n">
        <x:v>1</x:v>
      </x:c>
      <x:c r="C35" s="202" t="n">
        <x:v>0.85</x:v>
      </x:c>
      <x:c r="D35" s="202" t="n">
        <x:v>0.875</x:v>
      </x:c>
      <x:c r="E35" s="202" t="n">
        <x:v>0.8888888888888888</x:v>
      </x:c>
      <x:c r="F35" s="202" t="n">
        <x:v>0.85</x:v>
      </x:c>
      <x:c r="G35" s="202" t="n">
        <x:v>0.9</x:v>
      </x:c>
      <x:c r="H35" s="202" t="n">
        <x:v>0.9</x:v>
      </x:c>
      <x:c r="I35" s="208" t="n">
        <x:v>30</x:v>
      </x:c>
      <x:c r="J35" s="184"/>
      <x:c r="K35" s="184"/>
      <x:c r="L35" s="184"/>
      <x:c r="M35" s="184"/>
    </x:row>
    <x:row r="36">
      <x:c r="A36" s="177" t="str">
        <x:v>基准</x:v>
      </x:c>
      <x:c r="B36" s="202" t="n">
        <x:v>1</x:v>
      </x:c>
      <x:c r="C36" s="202" t="n">
        <x:v>1</x:v>
      </x:c>
      <x:c r="D36" s="202" t="n">
        <x:v>1</x:v>
      </x:c>
      <x:c r="E36" s="202" t="n">
        <x:v>1</x:v>
      </x:c>
      <x:c r="F36" s="202" t="n">
        <x:v>1</x:v>
      </x:c>
      <x:c r="G36" s="202" t="n">
        <x:v>1</x:v>
      </x:c>
      <x:c r="H36" s="202" t="n">
        <x:v>1</x:v>
      </x:c>
      <x:c r="I36" s="208" t="n">
        <x:v>40</x:v>
      </x:c>
      <x:c r="J36" s="184"/>
      <x:c r="K36" s="184"/>
      <x:c r="L36" s="184"/>
      <x:c r="M36" s="184"/>
    </x:row>
    <x:row r="37">
      <x:c r="A37" s="177" t="str">
        <x:v>乐观</x:v>
      </x:c>
      <x:c r="B37" s="202" t="n">
        <x:v>1</x:v>
      </x:c>
      <x:c r="C37" s="202" t="n">
        <x:v>1.1</x:v>
      </x:c>
      <x:c r="D37" s="202" t="n">
        <x:v>1.125</x:v>
      </x:c>
      <x:c r="E37" s="202" t="n">
        <x:v>1.1111111111111112</x:v>
      </x:c>
      <x:c r="F37" s="202" t="n">
        <x:v>1.1</x:v>
      </x:c>
      <x:c r="G37" s="202" t="n">
        <x:v>1.1</x:v>
      </x:c>
      <x:c r="H37" s="202" t="n">
        <x:v>1.1</x:v>
      </x:c>
      <x:c r="I37" s="208" t="n">
        <x:v>50</x:v>
      </x:c>
      <x:c r="J37" s="184"/>
      <x:c r="K37" s="184"/>
      <x:c r="L37" s="184"/>
      <x:c r="M37" s="184"/>
    </x:row>
    <x:row r="38">
      <x:c r="A38" s="184"/>
      <x:c r="B38" s="184"/>
      <x:c r="C38" s="184"/>
      <x:c r="D38" s="184"/>
      <x:c r="E38" s="184"/>
      <x:c r="F38" s="184"/>
      <x:c r="G38" s="184"/>
      <x:c r="H38" s="184"/>
      <x:c r="I38" s="184"/>
      <x:c r="J38" s="184"/>
      <x:c r="K38" s="184"/>
      <x:c r="L38" s="184"/>
      <x:c r="M38" s="184"/>
    </x:row>
    <x:row r="39" ht="34" customHeight="1">
      <x:c r="A39" s="198" t="str">
        <x:v>行业需求量系数作用于行业需求，收入兑现率作用于公司理论预估收入。OCS与CPO/NPO微光学器件共用量产曲线，可插拔透镜独立年降10%，量测设备维持初始价。</x:v>
      </x:c>
      <x:c r="B39" s="198"/>
      <x:c r="C39" s="198"/>
      <x:c r="D39" s="198"/>
      <x:c r="E39" s="198"/>
      <x:c r="F39" s="198"/>
      <x:c r="G39" s="198"/>
      <x:c r="H39" s="198"/>
      <x:c r="I39" s="198"/>
      <x:c r="J39" s="198"/>
      <x:c r="K39" s="198"/>
      <x:c r="L39" s="198"/>
      <x:c r="M39" s="184"/>
    </x:row>
    <x:row r="40">
      <x:c r="A40" s="184"/>
      <x:c r="B40" s="184"/>
      <x:c r="C40" s="184"/>
      <x:c r="D40" s="184"/>
      <x:c r="E40" s="184"/>
      <x:c r="F40" s="184"/>
      <x:c r="G40" s="184"/>
      <x:c r="H40" s="184"/>
      <x:c r="I40" s="184"/>
      <x:c r="J40" s="184"/>
      <x:c r="K40" s="184"/>
      <x:c r="L40" s="184"/>
      <x:c r="M40" s="184"/>
    </x:row>
    <x:row r="41">
      <x:c r="A41" s="184"/>
      <x:c r="B41" s="184"/>
      <x:c r="C41" s="184"/>
      <x:c r="D41" s="184"/>
      <x:c r="E41" s="184"/>
      <x:c r="F41" s="184"/>
      <x:c r="G41" s="184"/>
      <x:c r="H41" s="184"/>
      <x:c r="I41" s="184"/>
      <x:c r="J41" s="184"/>
      <x:c r="K41" s="184"/>
      <x:c r="L41" s="184"/>
      <x:c r="M41" s="184"/>
    </x:row>
    <x:row r="42">
      <x:c r="A42" s="176" t="str">
        <x:v>收入兑现情景</x:v>
      </x:c>
      <x:c r="B42" s="176" t="str">
        <x:v>产品线</x:v>
      </x:c>
      <x:c r="C42" s="176" t="str">
        <x:v>2026E</x:v>
      </x:c>
      <x:c r="D42" s="176" t="str">
        <x:v>2027E</x:v>
      </x:c>
      <x:c r="E42" s="176" t="str">
        <x:v>2028E</x:v>
      </x:c>
      <x:c r="F42" s="176" t="str">
        <x:v>2029E</x:v>
      </x:c>
      <x:c r="G42" s="176" t="str">
        <x:v>2030E</x:v>
      </x:c>
      <x:c r="H42" s="184"/>
      <x:c r="I42" s="184"/>
      <x:c r="J42" s="184"/>
      <x:c r="K42" s="184"/>
      <x:c r="L42" s="184"/>
      <x:c r="M42" s="184"/>
    </x:row>
    <x:row r="43">
      <x:c r="A43" s="177" t="str">
        <x:v>审慎情形</x:v>
      </x:c>
      <x:c r="B43" s="177" t="str">
        <x:v>800G 可插拔透镜</x:v>
      </x:c>
      <x:c r="C43" s="209" t="n">
        <x:v>0.8</x:v>
      </x:c>
      <x:c r="D43" s="209" t="n">
        <x:v>0.9</x:v>
      </x:c>
      <x:c r="E43" s="209" t="n">
        <x:v>0.9</x:v>
      </x:c>
      <x:c r="F43" s="209" t="n">
        <x:v>0.9</x:v>
      </x:c>
      <x:c r="G43" s="209" t="n">
        <x:v>0.9</x:v>
      </x:c>
      <x:c r="H43" s="184"/>
      <x:c r="I43" s="184"/>
      <x:c r="J43" s="184"/>
      <x:c r="K43" s="184"/>
      <x:c r="L43" s="184"/>
      <x:c r="M43" s="184"/>
    </x:row>
    <x:row r="44">
      <x:c r="A44" s="177" t="str">
        <x:v>审慎情形</x:v>
      </x:c>
      <x:c r="B44" s="177" t="str">
        <x:v>1.6T 可插拔透镜</x:v>
      </x:c>
      <x:c r="C44" s="209" t="n">
        <x:v>0.8</x:v>
      </x:c>
      <x:c r="D44" s="209" t="n">
        <x:v>0.9</x:v>
      </x:c>
      <x:c r="E44" s="209" t="n">
        <x:v>0.9</x:v>
      </x:c>
      <x:c r="F44" s="209" t="n">
        <x:v>0.9</x:v>
      </x:c>
      <x:c r="G44" s="209" t="n">
        <x:v>0.9</x:v>
      </x:c>
      <x:c r="H44" s="184"/>
      <x:c r="I44" s="184"/>
      <x:c r="J44" s="184"/>
      <x:c r="K44" s="184"/>
      <x:c r="L44" s="184"/>
      <x:c r="M44" s="184"/>
    </x:row>
    <x:row r="45">
      <x:c r="A45" s="177" t="str">
        <x:v>审慎情形</x:v>
      </x:c>
      <x:c r="B45" s="177" t="str">
        <x:v>OCS NxN透镜阵列</x:v>
      </x:c>
      <x:c r="C45" s="209" t="n">
        <x:v>0.7</x:v>
      </x:c>
      <x:c r="D45" s="209" t="n">
        <x:v>0.8</x:v>
      </x:c>
      <x:c r="E45" s="209" t="n">
        <x:v>0.8</x:v>
      </x:c>
      <x:c r="F45" s="209" t="n">
        <x:v>0.8</x:v>
      </x:c>
      <x:c r="G45" s="209" t="n">
        <x:v>0.8</x:v>
      </x:c>
      <x:c r="H45" s="184"/>
      <x:c r="I45" s="184"/>
      <x:c r="J45" s="184"/>
      <x:c r="K45" s="184"/>
      <x:c r="L45" s="184"/>
      <x:c r="M45" s="184"/>
    </x:row>
    <x:row r="46">
      <x:c r="A46" s="177" t="str">
        <x:v>审慎情形</x:v>
      </x:c>
      <x:c r="B46" s="177" t="str">
        <x:v>FAU V 型槽阵列</x:v>
      </x:c>
      <x:c r="C46" s="209" t="n">
        <x:v>0.5</x:v>
      </x:c>
      <x:c r="D46" s="209" t="n">
        <x:v>0.7</x:v>
      </x:c>
      <x:c r="E46" s="209" t="n">
        <x:v>0.8</x:v>
      </x:c>
      <x:c r="F46" s="209" t="n">
        <x:v>0.8</x:v>
      </x:c>
      <x:c r="G46" s="209" t="n">
        <x:v>0.8</x:v>
      </x:c>
      <x:c r="H46" s="184"/>
      <x:c r="I46" s="184"/>
      <x:c r="J46" s="184"/>
      <x:c r="K46" s="184"/>
      <x:c r="L46" s="184"/>
      <x:c r="M46" s="184"/>
    </x:row>
    <x:row r="47">
      <x:c r="A47" s="177" t="str">
        <x:v>审慎情形</x:v>
      </x:c>
      <x:c r="B47" s="177" t="str">
        <x:v>FAU 棱镜透镜阵列</x:v>
      </x:c>
      <x:c r="C47" s="209" t="n">
        <x:v>0.5</x:v>
      </x:c>
      <x:c r="D47" s="209" t="n">
        <x:v>0.7</x:v>
      </x:c>
      <x:c r="E47" s="209" t="n">
        <x:v>0.8</x:v>
      </x:c>
      <x:c r="F47" s="209" t="n">
        <x:v>0.8</x:v>
      </x:c>
      <x:c r="G47" s="209" t="n">
        <x:v>0.8</x:v>
      </x:c>
      <x:c r="H47" s="184"/>
      <x:c r="I47" s="184"/>
      <x:c r="J47" s="184"/>
      <x:c r="K47" s="184"/>
      <x:c r="L47" s="184"/>
      <x:c r="M47" s="184"/>
    </x:row>
    <x:row r="48">
      <x:c r="A48" s="177" t="str">
        <x:v>审慎情形</x:v>
      </x:c>
      <x:c r="B48" s="177" t="str">
        <x:v>外置激光器透镜＋热沉</x:v>
      </x:c>
      <x:c r="C48" s="209" t="n">
        <x:v>0.5</x:v>
      </x:c>
      <x:c r="D48" s="209" t="n">
        <x:v>0.7</x:v>
      </x:c>
      <x:c r="E48" s="209" t="n">
        <x:v>0.8</x:v>
      </x:c>
      <x:c r="F48" s="209" t="n">
        <x:v>0.8</x:v>
      </x:c>
      <x:c r="G48" s="209" t="n">
        <x:v>0.8</x:v>
      </x:c>
      <x:c r="H48" s="184"/>
      <x:c r="I48" s="184"/>
      <x:c r="J48" s="184"/>
      <x:c r="K48" s="184"/>
      <x:c r="L48" s="184"/>
      <x:c r="M48" s="184"/>
    </x:row>
    <x:row r="49">
      <x:c r="A49" s="177" t="str">
        <x:v>审慎情形</x:v>
      </x:c>
      <x:c r="B49" s="177" t="str">
        <x:v>FAU 关键尺寸量测设备</x:v>
      </x:c>
      <x:c r="C49" s="209" t="n">
        <x:v>0</x:v>
      </x:c>
      <x:c r="D49" s="209" t="n">
        <x:v>0.5</x:v>
      </x:c>
      <x:c r="E49" s="209" t="n">
        <x:v>0.7</x:v>
      </x:c>
      <x:c r="F49" s="209" t="n">
        <x:v>0.7</x:v>
      </x:c>
      <x:c r="G49" s="209" t="n">
        <x:v>0.7</x:v>
      </x:c>
      <x:c r="H49" s="184"/>
      <x:c r="I49" s="184"/>
      <x:c r="J49" s="184"/>
      <x:c r="K49" s="184"/>
      <x:c r="L49" s="184"/>
      <x:c r="M49" s="184"/>
    </x:row>
    <x:row r="50">
      <x:c r="A50" s="177" t="str">
        <x:v>基准情形</x:v>
      </x:c>
      <x:c r="B50" s="177" t="str">
        <x:v>800G 可插拔透镜</x:v>
      </x:c>
      <x:c r="C50" s="209" t="n">
        <x:v>0.8</x:v>
      </x:c>
      <x:c r="D50" s="209" t="n">
        <x:v>0.9</x:v>
      </x:c>
      <x:c r="E50" s="209" t="n">
        <x:v>0.9</x:v>
      </x:c>
      <x:c r="F50" s="209" t="n">
        <x:v>0.9</x:v>
      </x:c>
      <x:c r="G50" s="209" t="n">
        <x:v>0.9</x:v>
      </x:c>
      <x:c r="H50" s="184"/>
      <x:c r="I50" s="184"/>
      <x:c r="J50" s="184"/>
      <x:c r="K50" s="184"/>
      <x:c r="L50" s="184"/>
      <x:c r="M50" s="184"/>
    </x:row>
    <x:row r="51">
      <x:c r="A51" s="177" t="str">
        <x:v>基准情形</x:v>
      </x:c>
      <x:c r="B51" s="177" t="str">
        <x:v>1.6T 可插拔透镜</x:v>
      </x:c>
      <x:c r="C51" s="209" t="n">
        <x:v>0.8</x:v>
      </x:c>
      <x:c r="D51" s="209" t="n">
        <x:v>0.9</x:v>
      </x:c>
      <x:c r="E51" s="209" t="n">
        <x:v>0.9</x:v>
      </x:c>
      <x:c r="F51" s="209" t="n">
        <x:v>0.9</x:v>
      </x:c>
      <x:c r="G51" s="209" t="n">
        <x:v>0.9</x:v>
      </x:c>
      <x:c r="H51" s="184"/>
      <x:c r="I51" s="184"/>
      <x:c r="J51" s="184"/>
      <x:c r="K51" s="184"/>
      <x:c r="L51" s="184"/>
      <x:c r="M51" s="184"/>
    </x:row>
    <x:row r="52">
      <x:c r="A52" s="177" t="str">
        <x:v>基准情形</x:v>
      </x:c>
      <x:c r="B52" s="177" t="str">
        <x:v>OCS NxN透镜阵列</x:v>
      </x:c>
      <x:c r="C52" s="209" t="n">
        <x:v>0.7</x:v>
      </x:c>
      <x:c r="D52" s="209" t="n">
        <x:v>0.8</x:v>
      </x:c>
      <x:c r="E52" s="209" t="n">
        <x:v>0.8</x:v>
      </x:c>
      <x:c r="F52" s="209" t="n">
        <x:v>0.8</x:v>
      </x:c>
      <x:c r="G52" s="209" t="n">
        <x:v>0.8</x:v>
      </x:c>
      <x:c r="H52" s="184"/>
      <x:c r="I52" s="184"/>
      <x:c r="J52" s="184"/>
      <x:c r="K52" s="184"/>
      <x:c r="L52" s="184"/>
      <x:c r="M52" s="184"/>
    </x:row>
    <x:row r="53">
      <x:c r="A53" s="177" t="str">
        <x:v>基准情形</x:v>
      </x:c>
      <x:c r="B53" s="177" t="str">
        <x:v>FAU V 型槽阵列</x:v>
      </x:c>
      <x:c r="C53" s="209" t="n">
        <x:v>0.5</x:v>
      </x:c>
      <x:c r="D53" s="209" t="n">
        <x:v>0.7</x:v>
      </x:c>
      <x:c r="E53" s="209" t="n">
        <x:v>0.8</x:v>
      </x:c>
      <x:c r="F53" s="209" t="n">
        <x:v>0.8</x:v>
      </x:c>
      <x:c r="G53" s="209" t="n">
        <x:v>0.8</x:v>
      </x:c>
      <x:c r="H53" s="184"/>
      <x:c r="I53" s="184"/>
      <x:c r="J53" s="184"/>
      <x:c r="K53" s="184"/>
      <x:c r="L53" s="184"/>
      <x:c r="M53" s="184"/>
    </x:row>
    <x:row r="54">
      <x:c r="A54" s="177" t="str">
        <x:v>基准情形</x:v>
      </x:c>
      <x:c r="B54" s="177" t="str">
        <x:v>FAU 棱镜透镜阵列</x:v>
      </x:c>
      <x:c r="C54" s="209" t="n">
        <x:v>0.5</x:v>
      </x:c>
      <x:c r="D54" s="209" t="n">
        <x:v>0.7</x:v>
      </x:c>
      <x:c r="E54" s="209" t="n">
        <x:v>0.8</x:v>
      </x:c>
      <x:c r="F54" s="209" t="n">
        <x:v>0.8</x:v>
      </x:c>
      <x:c r="G54" s="209" t="n">
        <x:v>0.8</x:v>
      </x:c>
      <x:c r="H54" s="184"/>
      <x:c r="I54" s="184"/>
      <x:c r="J54" s="184"/>
      <x:c r="K54" s="184"/>
      <x:c r="L54" s="184"/>
      <x:c r="M54" s="184"/>
    </x:row>
    <x:row r="55">
      <x:c r="A55" s="177" t="str">
        <x:v>基准情形</x:v>
      </x:c>
      <x:c r="B55" s="177" t="str">
        <x:v>外置激光器透镜＋热沉</x:v>
      </x:c>
      <x:c r="C55" s="209" t="n">
        <x:v>0.5</x:v>
      </x:c>
      <x:c r="D55" s="209" t="n">
        <x:v>0.7</x:v>
      </x:c>
      <x:c r="E55" s="209" t="n">
        <x:v>0.8</x:v>
      </x:c>
      <x:c r="F55" s="209" t="n">
        <x:v>0.8</x:v>
      </x:c>
      <x:c r="G55" s="209" t="n">
        <x:v>0.8</x:v>
      </x:c>
      <x:c r="H55" s="184"/>
      <x:c r="I55" s="184"/>
      <x:c r="J55" s="184"/>
      <x:c r="K55" s="184"/>
      <x:c r="L55" s="184"/>
      <x:c r="M55" s="184"/>
    </x:row>
    <x:row r="56">
      <x:c r="A56" s="177" t="str">
        <x:v>基准情形</x:v>
      </x:c>
      <x:c r="B56" s="177" t="str">
        <x:v>FAU 关键尺寸量测设备</x:v>
      </x:c>
      <x:c r="C56" s="209" t="n">
        <x:v>0</x:v>
      </x:c>
      <x:c r="D56" s="209" t="n">
        <x:v>0.5</x:v>
      </x:c>
      <x:c r="E56" s="209" t="n">
        <x:v>0.7</x:v>
      </x:c>
      <x:c r="F56" s="209" t="n">
        <x:v>0.7</x:v>
      </x:c>
      <x:c r="G56" s="209" t="n">
        <x:v>0.7</x:v>
      </x:c>
      <x:c r="H56" s="184"/>
      <x:c r="I56" s="184"/>
      <x:c r="J56" s="184"/>
      <x:c r="K56" s="184"/>
      <x:c r="L56" s="184"/>
      <x:c r="M56" s="184"/>
    </x:row>
    <x:row r="57">
      <x:c r="A57" s="177" t="str">
        <x:v>乐观情形</x:v>
      </x:c>
      <x:c r="B57" s="177" t="str">
        <x:v>800G 可插拔透镜</x:v>
      </x:c>
      <x:c r="C57" s="209" t="n">
        <x:v>0.8</x:v>
      </x:c>
      <x:c r="D57" s="209" t="n">
        <x:v>0.9</x:v>
      </x:c>
      <x:c r="E57" s="209" t="n">
        <x:v>0.9</x:v>
      </x:c>
      <x:c r="F57" s="209" t="n">
        <x:v>0.9</x:v>
      </x:c>
      <x:c r="G57" s="209" t="n">
        <x:v>0.9</x:v>
      </x:c>
      <x:c r="H57" s="184"/>
      <x:c r="I57" s="184"/>
      <x:c r="J57" s="184"/>
      <x:c r="K57" s="184"/>
      <x:c r="L57" s="184"/>
      <x:c r="M57" s="184"/>
    </x:row>
    <x:row r="58">
      <x:c r="A58" s="177" t="str">
        <x:v>乐观情形</x:v>
      </x:c>
      <x:c r="B58" s="177" t="str">
        <x:v>1.6T 可插拔透镜</x:v>
      </x:c>
      <x:c r="C58" s="209" t="n">
        <x:v>0.8</x:v>
      </x:c>
      <x:c r="D58" s="209" t="n">
        <x:v>0.9</x:v>
      </x:c>
      <x:c r="E58" s="209" t="n">
        <x:v>0.9</x:v>
      </x:c>
      <x:c r="F58" s="209" t="n">
        <x:v>0.9</x:v>
      </x:c>
      <x:c r="G58" s="209" t="n">
        <x:v>0.9</x:v>
      </x:c>
      <x:c r="H58" s="184"/>
      <x:c r="I58" s="184"/>
      <x:c r="J58" s="184"/>
      <x:c r="K58" s="184"/>
      <x:c r="L58" s="184"/>
      <x:c r="M58" s="184"/>
    </x:row>
    <x:row r="59">
      <x:c r="A59" s="177" t="str">
        <x:v>乐观情形</x:v>
      </x:c>
      <x:c r="B59" s="177" t="str">
        <x:v>OCS NxN透镜阵列</x:v>
      </x:c>
      <x:c r="C59" s="209" t="n">
        <x:v>0.7</x:v>
      </x:c>
      <x:c r="D59" s="209" t="n">
        <x:v>0.8</x:v>
      </x:c>
      <x:c r="E59" s="209" t="n">
        <x:v>0.8</x:v>
      </x:c>
      <x:c r="F59" s="209" t="n">
        <x:v>0.8</x:v>
      </x:c>
      <x:c r="G59" s="209" t="n">
        <x:v>0.8</x:v>
      </x:c>
      <x:c r="H59" s="184"/>
      <x:c r="I59" s="184"/>
      <x:c r="J59" s="184"/>
      <x:c r="K59" s="184"/>
      <x:c r="L59" s="184"/>
      <x:c r="M59" s="184"/>
    </x:row>
    <x:row r="60">
      <x:c r="A60" s="177" t="str">
        <x:v>乐观情形</x:v>
      </x:c>
      <x:c r="B60" s="177" t="str">
        <x:v>FAU V 型槽阵列</x:v>
      </x:c>
      <x:c r="C60" s="209" t="n">
        <x:v>0.5</x:v>
      </x:c>
      <x:c r="D60" s="209" t="n">
        <x:v>0.7</x:v>
      </x:c>
      <x:c r="E60" s="209" t="n">
        <x:v>0.8</x:v>
      </x:c>
      <x:c r="F60" s="209" t="n">
        <x:v>0.8</x:v>
      </x:c>
      <x:c r="G60" s="209" t="n">
        <x:v>0.8</x:v>
      </x:c>
      <x:c r="H60" s="184"/>
      <x:c r="I60" s="184"/>
      <x:c r="J60" s="184"/>
      <x:c r="K60" s="184"/>
      <x:c r="L60" s="184"/>
      <x:c r="M60" s="184"/>
    </x:row>
    <x:row r="61">
      <x:c r="A61" s="177" t="str">
        <x:v>乐观情形</x:v>
      </x:c>
      <x:c r="B61" s="177" t="str">
        <x:v>FAU 棱镜透镜阵列</x:v>
      </x:c>
      <x:c r="C61" s="209" t="n">
        <x:v>0.5</x:v>
      </x:c>
      <x:c r="D61" s="209" t="n">
        <x:v>0.7</x:v>
      </x:c>
      <x:c r="E61" s="209" t="n">
        <x:v>0.8</x:v>
      </x:c>
      <x:c r="F61" s="209" t="n">
        <x:v>0.8</x:v>
      </x:c>
      <x:c r="G61" s="209" t="n">
        <x:v>0.8</x:v>
      </x:c>
      <x:c r="H61" s="184"/>
      <x:c r="I61" s="184"/>
      <x:c r="J61" s="184"/>
      <x:c r="K61" s="184"/>
      <x:c r="L61" s="184"/>
      <x:c r="M61" s="184"/>
    </x:row>
    <x:row r="62">
      <x:c r="A62" s="177" t="str">
        <x:v>乐观情形</x:v>
      </x:c>
      <x:c r="B62" s="177" t="str">
        <x:v>外置激光器透镜＋热沉</x:v>
      </x:c>
      <x:c r="C62" s="209" t="n">
        <x:v>0.5</x:v>
      </x:c>
      <x:c r="D62" s="209" t="n">
        <x:v>0.7</x:v>
      </x:c>
      <x:c r="E62" s="209" t="n">
        <x:v>0.8</x:v>
      </x:c>
      <x:c r="F62" s="209" t="n">
        <x:v>0.8</x:v>
      </x:c>
      <x:c r="G62" s="209" t="n">
        <x:v>0.8</x:v>
      </x:c>
      <x:c r="H62" s="184"/>
      <x:c r="I62" s="184"/>
      <x:c r="J62" s="184"/>
      <x:c r="K62" s="184"/>
      <x:c r="L62" s="184"/>
      <x:c r="M62" s="184"/>
    </x:row>
    <x:row r="63">
      <x:c r="A63" s="177" t="str">
        <x:v>乐观情形</x:v>
      </x:c>
      <x:c r="B63" s="177" t="str">
        <x:v>FAU 关键尺寸量测设备</x:v>
      </x:c>
      <x:c r="C63" s="209" t="n">
        <x:v>0</x:v>
      </x:c>
      <x:c r="D63" s="209" t="n">
        <x:v>0.5</x:v>
      </x:c>
      <x:c r="E63" s="209" t="n">
        <x:v>0.7</x:v>
      </x:c>
      <x:c r="F63" s="209" t="n">
        <x:v>0.7</x:v>
      </x:c>
      <x:c r="G63" s="209" t="n">
        <x:v>0.7</x:v>
      </x:c>
      <x:c r="H63" s="184"/>
      <x:c r="I63" s="184"/>
      <x:c r="J63" s="184"/>
      <x:c r="K63" s="184"/>
      <x:c r="L63" s="184"/>
      <x:c r="M63" s="184"/>
    </x:row>
    <x:row r="64">
      <x:c r="A64" s="184"/>
      <x:c r="B64" s="184"/>
      <x:c r="C64" s="184"/>
      <x:c r="D64" s="184"/>
      <x:c r="E64" s="184"/>
      <x:c r="F64" s="184"/>
      <x:c r="G64" s="184"/>
      <x:c r="H64" s="184"/>
      <x:c r="I64" s="184"/>
      <x:c r="J64" s="184"/>
      <x:c r="K64" s="184"/>
      <x:c r="L64" s="184"/>
      <x:c r="M64" s="184"/>
    </x:row>
    <x:row r="65" ht="40" customHeight="1">
      <x:c r="A65" s="198" t="str">
        <x:v>三情形兑现率一致：可插拔80%后90%，OCS70%后80%，FAU/ELS器件50%/70%/80%，量测设备0%/50%/70%；2028年后保持相应比例。</x:v>
      </x:c>
      <x:c r="B65" s="198"/>
      <x:c r="C65" s="198"/>
      <x:c r="D65" s="198"/>
      <x:c r="E65" s="198"/>
      <x:c r="F65" s="198"/>
      <x:c r="G65" s="198"/>
      <x:c r="H65" s="198"/>
      <x:c r="I65" s="198"/>
      <x:c r="J65" s="198"/>
      <x:c r="K65" s="198"/>
      <x:c r="L65" s="198"/>
      <x:c r="M65" s="184"/>
    </x:row>
    <x:row r="66">
      <x:c r="A66" s="184"/>
      <x:c r="B66" s="184"/>
      <x:c r="C66" s="184"/>
      <x:c r="D66" s="184"/>
      <x:c r="E66" s="184"/>
      <x:c r="F66" s="184"/>
      <x:c r="G66" s="184"/>
      <x:c r="H66" s="184"/>
      <x:c r="I66" s="184"/>
      <x:c r="J66" s="184"/>
      <x:c r="K66" s="184"/>
      <x:c r="L66" s="184"/>
      <x:c r="M66" s="184"/>
    </x:row>
    <x:row r="67">
      <x:c r="A67" s="184"/>
      <x:c r="B67" s="184"/>
      <x:c r="C67" s="184"/>
      <x:c r="D67" s="184"/>
      <x:c r="E67" s="184"/>
      <x:c r="F67" s="184"/>
      <x:c r="G67" s="184"/>
      <x:c r="H67" s="184"/>
      <x:c r="I67" s="184"/>
      <x:c r="J67" s="184"/>
      <x:c r="K67" s="184"/>
      <x:c r="L67" s="184"/>
      <x:c r="M67" s="184"/>
    </x:row>
    <x:row r="68">
      <x:c r="A68" s="176" t="str">
        <x:v>公司费用与税项</x:v>
      </x:c>
      <x:c r="B68" s="176" t="str">
        <x:v>单位</x:v>
      </x:c>
      <x:c r="C68" s="176" t="str">
        <x:v>2026E</x:v>
      </x:c>
      <x:c r="D68" s="176" t="str">
        <x:v>2027E</x:v>
      </x:c>
      <x:c r="E68" s="176" t="str">
        <x:v>2028E</x:v>
      </x:c>
      <x:c r="F68" s="176" t="str">
        <x:v>2029E</x:v>
      </x:c>
      <x:c r="G68" s="176" t="str">
        <x:v>2030E</x:v>
      </x:c>
      <x:c r="H68" s="184"/>
      <x:c r="I68" s="184"/>
      <x:c r="J68" s="184"/>
      <x:c r="K68" s="184"/>
      <x:c r="L68" s="184"/>
      <x:c r="M68" s="184"/>
    </x:row>
    <x:row r="69">
      <x:c r="A69" s="177" t="str">
        <x:v>销售费用率</x:v>
      </x:c>
      <x:c r="B69" s="177" t="str">
        <x:v>%</x:v>
      </x:c>
      <x:c r="C69" s="209" t="n">
        <x:v>0.048</x:v>
      </x:c>
      <x:c r="D69" s="209" t="n">
        <x:v>0.045</x:v>
      </x:c>
      <x:c r="E69" s="209" t="n">
        <x:v>0.03</x:v>
      </x:c>
      <x:c r="F69" s="209" t="n">
        <x:v>0.028</x:v>
      </x:c>
      <x:c r="G69" s="209" t="n">
        <x:v>0.025</x:v>
      </x:c>
      <x:c r="H69" s="184"/>
      <x:c r="I69" s="184"/>
      <x:c r="J69" s="184"/>
      <x:c r="K69" s="184"/>
      <x:c r="L69" s="184"/>
      <x:c r="M69" s="184"/>
    </x:row>
    <x:row r="70">
      <x:c r="A70" s="177" t="str">
        <x:v>管理费用率</x:v>
      </x:c>
      <x:c r="B70" s="177" t="str">
        <x:v>%</x:v>
      </x:c>
      <x:c r="C70" s="209" t="n">
        <x:v>0.135</x:v>
      </x:c>
      <x:c r="D70" s="209" t="n">
        <x:v>0.115</x:v>
      </x:c>
      <x:c r="E70" s="209" t="n">
        <x:v>0.1</x:v>
      </x:c>
      <x:c r="F70" s="209" t="n">
        <x:v>0.095</x:v>
      </x:c>
      <x:c r="G70" s="209" t="n">
        <x:v>0.09</x:v>
      </x:c>
      <x:c r="H70" s="184"/>
      <x:c r="I70" s="184"/>
      <x:c r="J70" s="184"/>
      <x:c r="K70" s="184"/>
      <x:c r="L70" s="184"/>
      <x:c r="M70" s="184"/>
    </x:row>
    <x:row r="71">
      <x:c r="A71" s="177" t="str">
        <x:v>研发费用率</x:v>
      </x:c>
      <x:c r="B71" s="177" t="str">
        <x:v>%</x:v>
      </x:c>
      <x:c r="C71" s="209" t="n">
        <x:v>0.16</x:v>
      </x:c>
      <x:c r="D71" s="209" t="n">
        <x:v>0.135</x:v>
      </x:c>
      <x:c r="E71" s="209" t="n">
        <x:v>0.1</x:v>
      </x:c>
      <x:c r="F71" s="209" t="n">
        <x:v>0.095</x:v>
      </x:c>
      <x:c r="G71" s="209" t="n">
        <x:v>0.09</x:v>
      </x:c>
      <x:c r="H71" s="184"/>
      <x:c r="I71" s="184"/>
      <x:c r="J71" s="184"/>
      <x:c r="K71" s="184"/>
      <x:c r="L71" s="184"/>
      <x:c r="M71" s="184"/>
    </x:row>
    <x:row r="72">
      <x:c r="A72" s="177" t="str">
        <x:v>财务费用率</x:v>
      </x:c>
      <x:c r="B72" s="177" t="str">
        <x:v>%</x:v>
      </x:c>
      <x:c r="C72" s="209" t="n">
        <x:v>0.012</x:v>
      </x:c>
      <x:c r="D72" s="209" t="n">
        <x:v>0.008</x:v>
      </x:c>
      <x:c r="E72" s="209" t="n">
        <x:v>0.005</x:v>
      </x:c>
      <x:c r="F72" s="209" t="n">
        <x:v>0.003</x:v>
      </x:c>
      <x:c r="G72" s="209" t="n">
        <x:v>0.002</x:v>
      </x:c>
      <x:c r="H72" s="184"/>
      <x:c r="I72" s="184"/>
      <x:c r="J72" s="184"/>
      <x:c r="K72" s="184"/>
      <x:c r="L72" s="184"/>
      <x:c r="M72" s="184"/>
    </x:row>
    <x:row r="73">
      <x:c r="A73" s="177" t="str">
        <x:v>税金及附加率</x:v>
      </x:c>
      <x:c r="B73" s="177" t="str">
        <x:v>%</x:v>
      </x:c>
      <x:c r="C73" s="209" t="n">
        <x:v>0.004</x:v>
      </x:c>
      <x:c r="D73" s="209" t="n">
        <x:v>0.0045</x:v>
      </x:c>
      <x:c r="E73" s="209" t="n">
        <x:v>0.0045</x:v>
      </x:c>
      <x:c r="F73" s="209" t="n">
        <x:v>0.005</x:v>
      </x:c>
      <x:c r="G73" s="209" t="n">
        <x:v>0.005</x:v>
      </x:c>
      <x:c r="H73" s="184"/>
      <x:c r="I73" s="184"/>
      <x:c r="J73" s="184"/>
      <x:c r="K73" s="184"/>
      <x:c r="L73" s="184"/>
      <x:c r="M73" s="184"/>
    </x:row>
    <x:row r="74">
      <x:c r="A74" s="177" t="str">
        <x:v>资产减值损失</x:v>
      </x:c>
      <x:c r="B74" s="177" t="str">
        <x:v>亿元</x:v>
      </x:c>
      <x:c r="C74" s="210" t="n">
        <x:v>0.7</x:v>
      </x:c>
      <x:c r="D74" s="210" t="n">
        <x:v>0.18</x:v>
      </x:c>
      <x:c r="E74" s="210" t="n">
        <x:v>0.1</x:v>
      </x:c>
      <x:c r="F74" s="210" t="n">
        <x:v>0.08</x:v>
      </x:c>
      <x:c r="G74" s="210" t="n">
        <x:v>0.06</x:v>
      </x:c>
      <x:c r="H74" s="184"/>
      <x:c r="I74" s="184"/>
      <x:c r="J74" s="184"/>
      <x:c r="K74" s="184"/>
      <x:c r="L74" s="184"/>
      <x:c r="M74" s="184"/>
    </x:row>
    <x:row r="75">
      <x:c r="A75" s="177" t="str">
        <x:v>其他净收益</x:v>
      </x:c>
      <x:c r="B75" s="177" t="str">
        <x:v>亿元</x:v>
      </x:c>
      <x:c r="C75" s="210" t="n">
        <x:v>0.08</x:v>
      </x:c>
      <x:c r="D75" s="210" t="n">
        <x:v>0.1</x:v>
      </x:c>
      <x:c r="E75" s="210" t="n">
        <x:v>0.12</x:v>
      </x:c>
      <x:c r="F75" s="210" t="n">
        <x:v>0.14</x:v>
      </x:c>
      <x:c r="G75" s="210" t="n">
        <x:v>0.16</x:v>
      </x:c>
      <x:c r="H75" s="184"/>
      <x:c r="I75" s="184"/>
      <x:c r="J75" s="184"/>
      <x:c r="K75" s="184"/>
      <x:c r="L75" s="184"/>
      <x:c r="M75" s="184"/>
    </x:row>
    <x:row r="76">
      <x:c r="A76" s="177" t="str">
        <x:v>所得税率</x:v>
      </x:c>
      <x:c r="B76" s="177" t="str">
        <x:v>%</x:v>
      </x:c>
      <x:c r="C76" s="209" t="n">
        <x:v>0</x:v>
      </x:c>
      <x:c r="D76" s="209" t="n">
        <x:v>0.15</x:v>
      </x:c>
      <x:c r="E76" s="209" t="n">
        <x:v>0.15</x:v>
      </x:c>
      <x:c r="F76" s="209" t="n">
        <x:v>0.15</x:v>
      </x:c>
      <x:c r="G76" s="209" t="n">
        <x:v>0.15</x:v>
      </x:c>
      <x:c r="H76" s="184"/>
      <x:c r="I76" s="184"/>
      <x:c r="J76" s="184"/>
      <x:c r="K76" s="184"/>
      <x:c r="L76" s="184"/>
      <x:c r="M76" s="184"/>
    </x:row>
    <x:row r="77">
      <x:c r="A77" s="184"/>
      <x:c r="B77" s="184"/>
      <x:c r="C77" s="184"/>
      <x:c r="D77" s="184"/>
      <x:c r="E77" s="184"/>
      <x:c r="F77" s="184"/>
      <x:c r="G77" s="184"/>
      <x:c r="H77" s="184"/>
      <x:c r="I77" s="184"/>
      <x:c r="J77" s="184"/>
      <x:c r="K77" s="184"/>
      <x:c r="L77" s="184"/>
      <x:c r="M77" s="184"/>
    </x:row>
    <x:row r="78">
      <x:c r="A78" s="184"/>
      <x:c r="B78" s="184"/>
      <x:c r="C78" s="184"/>
      <x:c r="D78" s="184"/>
      <x:c r="E78" s="184"/>
      <x:c r="F78" s="184"/>
      <x:c r="G78" s="184"/>
      <x:c r="H78" s="184"/>
      <x:c r="I78" s="184"/>
      <x:c r="J78" s="184"/>
      <x:c r="K78" s="184"/>
      <x:c r="L78" s="184"/>
      <x:c r="M78" s="184"/>
    </x:row>
    <x:row r="79">
      <x:c r="A79" s="176" t="str">
        <x:v>消费电子收入驱动</x:v>
      </x:c>
      <x:c r="B79" s="176" t="str">
        <x:v>单位</x:v>
      </x:c>
      <x:c r="C79" s="176" t="str">
        <x:v>2026E</x:v>
      </x:c>
      <x:c r="D79" s="176" t="str">
        <x:v>2027E</x:v>
      </x:c>
      <x:c r="E79" s="176" t="str">
        <x:v>2028E</x:v>
      </x:c>
      <x:c r="F79" s="176" t="str">
        <x:v>2029E</x:v>
      </x:c>
      <x:c r="G79" s="176" t="str">
        <x:v>2030E</x:v>
      </x:c>
      <x:c r="H79" s="184"/>
      <x:c r="I79" s="184"/>
      <x:c r="J79" s="184"/>
      <x:c r="K79" s="184"/>
      <x:c r="L79" s="184"/>
      <x:c r="M79" s="184"/>
    </x:row>
    <x:row r="80">
      <x:c r="A80" s="177" t="str">
        <x:v>收入增长率</x:v>
      </x:c>
      <x:c r="B80" s="177" t="str">
        <x:v>%</x:v>
      </x:c>
      <x:c r="C80" s="177"/>
      <x:c r="D80" s="202" t="n">
        <x:v>1.6</x:v>
      </x:c>
      <x:c r="E80" s="202" t="n">
        <x:v>1.05</x:v>
      </x:c>
      <x:c r="F80" s="202" t="n">
        <x:v>0.3</x:v>
      </x:c>
      <x:c r="G80" s="202" t="n">
        <x:v>0.2</x:v>
      </x:c>
      <x:c r="H80" s="184"/>
      <x:c r="I80" s="184"/>
      <x:c r="J80" s="184"/>
      <x:c r="K80" s="184"/>
      <x:c r="L80" s="184"/>
      <x:c r="M80" s="184"/>
    </x:row>
    <x:row r="81">
      <x:c r="A81" s="177" t="str">
        <x:v>消费电子收入</x:v>
      </x:c>
      <x:c r="B81" s="177" t="str">
        <x:v>亿元</x:v>
      </x:c>
      <x:c r="C81" s="203" t="n">
        <x:v>0.839</x:v>
      </x:c>
      <x:c r="D81" s="178" t="n">
        <x:f>C81*(1+D80)</x:f>
        <x:v>2.1814</x:v>
      </x:c>
      <x:c r="E81" s="178" t="n">
        <x:f>D81*(1+E80)</x:f>
        <x:v>4.47187</x:v>
      </x:c>
      <x:c r="F81" s="178" t="n">
        <x:f>E81*(1+F80)</x:f>
        <x:v>5.8134310000000005</x:v>
      </x:c>
      <x:c r="G81" s="178" t="n">
        <x:f>F81*(1+G80)</x:f>
        <x:v>6.9761172</x:v>
      </x:c>
      <x:c r="H81" s="184"/>
      <x:c r="I81" s="184"/>
      <x:c r="J81" s="184"/>
      <x:c r="K81" s="184"/>
      <x:c r="L81" s="184"/>
      <x:c r="M81" s="184"/>
    </x:row>
    <x:row r="82">
      <x:c r="A82" s="184"/>
      <x:c r="B82" s="184"/>
      <x:c r="C82" s="184"/>
      <x:c r="D82" s="184"/>
      <x:c r="E82" s="184"/>
      <x:c r="F82" s="184"/>
      <x:c r="G82" s="184"/>
      <x:c r="H82" s="184"/>
      <x:c r="I82" s="184"/>
      <x:c r="J82" s="184"/>
      <x:c r="K82" s="184"/>
      <x:c r="L82" s="184"/>
      <x:c r="M82" s="184"/>
    </x:row>
    <x:row r="83" ht="40" customHeight="1">
      <x:c r="A83" s="198" t="str">
        <x:v>XR光学与感知项目爬坡、无创血糖光谱测量模组潜在工程导入带动增长；为研究预测，非已确认订单或终端医疗认证。</x:v>
      </x:c>
      <x:c r="B83" s="198"/>
      <x:c r="C83" s="198"/>
      <x:c r="D83" s="198"/>
      <x:c r="E83" s="198"/>
      <x:c r="F83" s="198"/>
      <x:c r="G83" s="198"/>
      <x:c r="H83" s="198"/>
      <x:c r="I83" s="198"/>
      <x:c r="J83" s="198"/>
      <x:c r="K83" s="198"/>
      <x:c r="L83" s="198"/>
      <x:c r="M83" s="184"/>
    </x:row>
    <x:row r="84">
      <x:c r="A84" s="184"/>
      <x:c r="B84" s="184"/>
      <x:c r="C84" s="184"/>
      <x:c r="D84" s="184"/>
      <x:c r="E84" s="184"/>
      <x:c r="F84" s="184"/>
      <x:c r="G84" s="184"/>
      <x:c r="H84" s="184"/>
      <x:c r="I84" s="184"/>
      <x:c r="J84" s="184"/>
      <x:c r="K84" s="184"/>
      <x:c r="L84" s="184"/>
      <x:c r="M84" s="184"/>
    </x:row>
    <x:row r="85">
      <x:c r="A85" s="184"/>
      <x:c r="B85" s="184"/>
      <x:c r="C85" s="184"/>
      <x:c r="D85" s="184"/>
      <x:c r="E85" s="184"/>
      <x:c r="F85" s="184"/>
      <x:c r="G85" s="184"/>
      <x:c r="H85" s="184"/>
      <x:c r="I85" s="184"/>
      <x:c r="J85" s="184"/>
      <x:c r="K85" s="184"/>
      <x:c r="L85" s="184"/>
      <x:c r="M85" s="189" t="str">
        <x:v> </x:v>
      </x:c>
    </x:row>
  </x:sheetData>
  <x:mergeCells>
    <x:mergeCell ref="A1:L1"/>
    <x:mergeCell ref="A2:L2"/>
    <x:mergeCell ref="A39:L39"/>
    <x:mergeCell ref="A65:L65"/>
    <x:mergeCell ref="A83:L83"/>
  </x:mergeCells>
  <x:dataValidations count="1">
    <x:dataValidation type="decimal" operator="between" sqref="C43:G63">
      <x:formula1>0</x:formula1>
      <x:formula2>1</x:formula2>
    </x:dataValidation>
  </x:dataValidations>
  <x:pageMargins left="0.7" right="0.7" top="0.75" bottom="0.75" header="0.3" footer="0.3"/>
  <x:legacyDrawing xmlns:r="http://schemas.openxmlformats.org/officeDocument/2006/relationships" r:id="Rd724842c48244f8b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</x:cols>
  <x:sheetData>
    <x:row r="1" ht="32" customHeight="1">
      <x:c r="A1" s="172" t="str">
        <x:v>光通信产品理论预估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172"/>
      <x:c r="Q1" s="172"/>
      <x:c r="R1" s="172"/>
      <x:c r="S1" s="172"/>
      <x:c r="T1" s="172"/>
      <x:c r="U1" s="172"/>
      <x:c r="V1" s="184"/>
    </x:row>
    <x:row r="2" ht="28" customHeight="1">
      <x:c r="A2" s="174" t="str">
        <x:v>按需求、价值量与公司份额测算。OCS及CPO/NPO微光学器件先降20%后年降10%；可插拔透镜年降10%，量测设备保持各情形初始价。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174"/>
      <x:c r="Q2" s="174"/>
      <x:c r="R2" s="174"/>
      <x:c r="S2" s="174"/>
      <x:c r="T2" s="174"/>
      <x:c r="U2" s="174"/>
      <x:c r="V2" s="184"/>
    </x:row>
    <x:row r="3">
      <x:c r="A3" s="184"/>
      <x:c r="B3" s="184"/>
      <x:c r="C3" s="184"/>
      <x:c r="D3" s="184"/>
      <x:c r="E3" s="218" t="str">
        <x:v>审慎情形</x:v>
      </x:c>
      <x:c r="F3" s="218"/>
      <x:c r="G3" s="218"/>
      <x:c r="H3" s="218"/>
      <x:c r="I3" s="218"/>
      <x:c r="J3" s="184"/>
      <x:c r="K3" s="219" t="str">
        <x:v>基准情形</x:v>
      </x:c>
      <x:c r="L3" s="219"/>
      <x:c r="M3" s="219"/>
      <x:c r="N3" s="219"/>
      <x:c r="O3" s="219"/>
      <x:c r="P3" s="184"/>
      <x:c r="Q3" s="219" t="str">
        <x:v>乐观情形</x:v>
      </x:c>
      <x:c r="R3" s="219"/>
      <x:c r="S3" s="219"/>
      <x:c r="T3" s="219"/>
      <x:c r="U3" s="219"/>
      <x:c r="V3" s="184"/>
    </x:row>
    <x:row r="4">
      <x:c r="A4" s="176" t="str">
        <x:v>产品</x:v>
      </x:c>
      <x:c r="B4" s="176" t="str">
        <x:v>公式ID</x:v>
      </x:c>
      <x:c r="C4" s="176" t="str">
        <x:v>口径</x:v>
      </x:c>
      <x:c r="D4" s="176" t="str">
        <x:v>是否加总</x:v>
      </x:c>
      <x:c r="E4" s="176" t="str">
        <x:v>2026E</x:v>
      </x:c>
      <x:c r="F4" s="176" t="str">
        <x:v>2027E</x:v>
      </x:c>
      <x:c r="G4" s="176" t="str">
        <x:v>2028E</x:v>
      </x:c>
      <x:c r="H4" s="176" t="str">
        <x:v>2029E</x:v>
      </x:c>
      <x:c r="I4" s="176" t="str">
        <x:v>2030E</x:v>
      </x:c>
      <x:c r="J4" s="184"/>
      <x:c r="K4" s="176" t="str">
        <x:v>2026E</x:v>
      </x:c>
      <x:c r="L4" s="176" t="str">
        <x:v>2027E</x:v>
      </x:c>
      <x:c r="M4" s="176" t="str">
        <x:v>2028E</x:v>
      </x:c>
      <x:c r="N4" s="176" t="str">
        <x:v>2029E</x:v>
      </x:c>
      <x:c r="O4" s="176" t="str">
        <x:v>2030E</x:v>
      </x:c>
      <x:c r="P4" s="184"/>
      <x:c r="Q4" s="176" t="str">
        <x:v>2026E</x:v>
      </x:c>
      <x:c r="R4" s="176" t="str">
        <x:v>2027E</x:v>
      </x:c>
      <x:c r="S4" s="176" t="str">
        <x:v>2028E</x:v>
      </x:c>
      <x:c r="T4" s="176" t="str">
        <x:v>2029E</x:v>
      </x:c>
      <x:c r="U4" s="176" t="str">
        <x:v>2030E</x:v>
      </x:c>
      <x:c r="V4" s="184"/>
    </x:row>
    <x:row r="5">
      <x:c r="A5" s="177" t="str">
        <x:v>800G可插拔透镜</x:v>
      </x:c>
      <x:c r="B5" s="177" t="str">
        <x:v>OPP-PLG-800G</x:v>
      </x:c>
      <x:c r="C5" s="177" t="str">
        <x:v>800G需求×10只×4元×价格系数×份额</x:v>
      </x:c>
      <x:c r="D5" s="177" t="str">
        <x:v>是</x:v>
      </x:c>
      <x:c r="E5" s="178" t="n">
        <x:f>SUM('规格明细'!L6)</x:f>
        <x:v>0.6664</x:v>
      </x:c>
      <x:c r="F5" s="178" t="n">
        <x:f>SUM('规格明细'!L18)</x:f>
        <x:v>1.7747999999999997</x:v>
      </x:c>
      <x:c r="G5" s="178" t="n">
        <x:f>SUM('规格明细'!L30)</x:f>
        <x:v>1.17045</x:v>
      </x:c>
      <x:c r="H5" s="178" t="n">
        <x:f>SUM('规格明细'!L42)</x:f>
        <x:v>0.7138368</x:v>
      </x:c>
      <x:c r="I5" s="178" t="n">
        <x:f>SUM('规格明细'!L54)</x:f>
        <x:v>0.36137988000000004</x:v>
      </x:c>
      <x:c r="J5" s="220"/>
      <x:c r="K5" s="178" t="n">
        <x:f>SUM('规格明细'!L71)</x:f>
        <x:v>0.8959999999999999</x:v>
      </x:c>
      <x:c r="L5" s="178" t="n">
        <x:f>SUM('规格明细'!L83)</x:f>
        <x:v>2.349</x:v>
      </x:c>
      <x:c r="M5" s="178" t="n">
        <x:f>SUM('规格明细'!L95)</x:f>
        <x:v>1.62</x:v>
      </x:c>
      <x:c r="N5" s="178" t="n">
        <x:f>SUM('规格明细'!L107)</x:f>
        <x:v>0.9331200000000002</x:v>
      </x:c>
      <x:c r="O5" s="178" t="n">
        <x:f>SUM('规格明细'!L119)</x:f>
        <x:v>0.472392</x:v>
      </x:c>
      <x:c r="P5" s="220"/>
      <x:c r="Q5" s="178" t="n">
        <x:f>SUM('规格明细'!L136)</x:f>
        <x:v>1.1088</x:v>
      </x:c>
      <x:c r="R5" s="178" t="n">
        <x:f>SUM('规格明细'!L148)</x:f>
        <x:v>2.8710000000000004</x:v>
      </x:c>
      <x:c r="S5" s="178" t="n">
        <x:f>SUM('规格明细'!L160)</x:f>
        <x:v>1.9602000000000006</x:v>
      </x:c>
      <x:c r="T5" s="178" t="n">
        <x:f>SUM('规格明细'!L172)</x:f>
        <x:v>1.1290752000000004</x:v>
      </x:c>
      <x:c r="U5" s="178" t="n">
        <x:f>SUM('规格明细'!L184)</x:f>
        <x:v>0.5715943200000001</x:v>
      </x:c>
      <x:c r="V5" s="184"/>
    </x:row>
    <x:row r="6">
      <x:c r="A6" s="177" t="str">
        <x:v>1.6T可插拔透镜</x:v>
      </x:c>
      <x:c r="B6" s="177" t="str">
        <x:v>OPP-PLG-1.6T</x:v>
      </x:c>
      <x:c r="C6" s="177" t="str">
        <x:v>1.6T需求×10只×5.6元×价格系数×份额</x:v>
      </x:c>
      <x:c r="D6" s="177" t="str">
        <x:v>是</x:v>
      </x:c>
      <x:c r="E6" s="178" t="n">
        <x:f>SUM('规格明细'!L7)</x:f>
        <x:v>0.31320800000000004</x:v>
      </x:c>
      <x:c r="F6" s="178" t="n">
        <x:f>SUM('规格明细'!L19)</x:f>
        <x:v>2.193408</x:v>
      </x:c>
      <x:c r="G6" s="178" t="n">
        <x:f>SUM('规格明细'!L31)</x:f>
        <x:v>3.4411230000000006</x:v>
      </x:c>
      <x:c r="H6" s="178" t="n">
        <x:f>SUM('规格明细'!L43)</x:f>
        <x:v>4.5284021999999995</x:v>
      </x:c>
      <x:c r="I6" s="178" t="n">
        <x:f>SUM('规格明细'!L55)</x:f>
        <x:v>4.49717184</x:v>
      </x:c>
      <x:c r="J6" s="220"/>
      <x:c r="K6" s="178" t="n">
        <x:f>SUM('规格明细'!L72)</x:f>
        <x:v>0.42111999999999994</x:v>
      </x:c>
      <x:c r="L6" s="178" t="n">
        <x:f>SUM('规格明细'!L84)</x:f>
        <x:v>2.90304</x:v>
      </x:c>
      <x:c r="M6" s="178" t="n">
        <x:f>SUM('规格明细'!L96)</x:f>
        <x:v>4.7628</x:v>
      </x:c>
      <x:c r="N6" s="178" t="n">
        <x:f>SUM('规格明细'!L108)</x:f>
        <x:v>5.91948</x:v>
      </x:c>
      <x:c r="O6" s="178" t="n">
        <x:f>SUM('规格明细'!L120)</x:f>
        <x:v>5.878655999999999</x:v>
      </x:c>
      <x:c r="P6" s="220"/>
      <x:c r="Q6" s="178" t="n">
        <x:f>SUM('规格明细'!L137)</x:f>
        <x:v>0.5211359999999999</x:v>
      </x:c>
      <x:c r="R6" s="178" t="n">
        <x:f>SUM('规格明细'!L149)</x:f>
        <x:v>3.548160000000001</x:v>
      </x:c>
      <x:c r="S6" s="178" t="n">
        <x:f>SUM('规格明细'!L161)</x:f>
        <x:v>5.762988000000001</x:v>
      </x:c>
      <x:c r="T6" s="178" t="n">
        <x:f>SUM('规格明细'!L173)</x:f>
        <x:v>7.1625708</x:v>
      </x:c>
      <x:c r="U6" s="178" t="n">
        <x:f>SUM('规格明细'!L185)</x:f>
        <x:v>7.113173760000001</x:v>
      </x:c>
      <x:c r="V6" s="184"/>
    </x:row>
    <x:row r="7">
      <x:c r="A7" s="177" t="str">
        <x:v>OCS NxN透镜阵列</x:v>
      </x:c>
      <x:c r="B7" s="177" t="str">
        <x:v>OPP-OCS</x:v>
      </x:c>
      <x:c r="C7" s="177" t="str">
        <x:v>大小端口分别计算通道数、初价、份额，再求和</x:v>
      </x:c>
      <x:c r="D7" s="177" t="str">
        <x:v>是</x:v>
      </x:c>
      <x:c r="E7" s="178" t="n">
        <x:f>SUM('规格明细'!L8,'规格明细'!L9)</x:f>
        <x:v>1.2516</x:v>
      </x:c>
      <x:c r="F7" s="178" t="n">
        <x:f>SUM('规格明细'!L20,'规格明细'!L21)</x:f>
        <x:v>6.662826666666666</x:v>
      </x:c>
      <x:c r="G7" s="178" t="n">
        <x:f>SUM('规格明细'!L32,'规格明细'!L33)</x:f>
        <x:v>12.678681599999997</x:v>
      </x:c>
      <x:c r="H7" s="178" t="n">
        <x:f>SUM('规格明细'!L44,'规格明细'!L45)</x:f>
        <x:v>19.223764992</x:v>
      </x:c>
      <x:c r="I7" s="178" t="n">
        <x:f>SUM('规格明细'!L56,'规格明细'!L57)</x:f>
        <x:v>23.468434560000006</x:v>
      </x:c>
      <x:c r="J7" s="220"/>
      <x:c r="K7" s="178" t="n">
        <x:f>SUM('规格明细'!L73,'规格明细'!L74)</x:f>
        <x:v>1.9072000000000002</x:v>
      </x:c>
      <x:c r="L7" s="178" t="n">
        <x:f>SUM('规格明细'!L85,'规格明细'!L86)</x:f>
        <x:v>9.994240000000001</x:v>
      </x:c>
      <x:c r="M7" s="178" t="n">
        <x:f>SUM('规格明细'!L97,'规格明细'!L98)</x:f>
        <x:v>19.888128000000002</x:v>
      </x:c>
      <x:c r="N7" s="178" t="n">
        <x:f>SUM('规格明细'!L109,'规格明细'!L110)</x:f>
        <x:v>28.479651839999995</x:v>
      </x:c>
      <x:c r="O7" s="178" t="n">
        <x:f>SUM('规格明细'!L121,'规格明细'!L122)</x:f>
        <x:v>34.76805120000001</x:v>
      </x:c>
      <x:c r="P7" s="220"/>
      <x:c r="Q7" s="178" t="n">
        <x:f>SUM('规格明细'!L138,'规格明细'!L139)</x:f>
        <x:v>2.56</x:v>
      </x:c>
      <x:c r="R7" s="178" t="n">
        <x:f>SUM('规格明细'!L150,'规格明细'!L151)</x:f>
        <x:v>13.312000000000001</x:v>
      </x:c>
      <x:c r="S7" s="178" t="n">
        <x:f>SUM('规格明细'!L162,'规格明细'!L163)</x:f>
        <x:v>27.346176000000007</x:v>
      </x:c>
      <x:c r="T7" s="178" t="n">
        <x:f>SUM('规格明细'!L174,'规格明细'!L175)</x:f>
        <x:v>39.15952128</x:v>
      </x:c>
      <x:c r="U7" s="178" t="n">
        <x:f>SUM('规格明细'!L186,'规格明细'!L187)</x:f>
        <x:v>47.80607040000001</x:v>
      </x:c>
      <x:c r="V7" s="184"/>
    </x:row>
    <x:row r="8">
      <x:c r="A8" s="177" t="str">
        <x:v>FAU V型槽</x:v>
      </x:c>
      <x:c r="B8" s="177" t="str">
        <x:v>OPP-VG</x:v>
      </x:c>
      <x:c r="C8" s="177" t="str">
        <x:v>规格台数×32 FAU×36/72通道×规格价×份额</x:v>
      </x:c>
      <x:c r="D8" s="177" t="str">
        <x:v>是</x:v>
      </x:c>
      <x:c r="E8" s="178" t="n">
        <x:f>SUM('规格明细'!L10,'规格明细'!L11)</x:f>
        <x:v>0.69092352</x:v>
      </x:c>
      <x:c r="F8" s="178" t="n">
        <x:f>SUM('规格明细'!L22,'规格明细'!L23)</x:f>
        <x:v>6.2390272</x:v>
      </x:c>
      <x:c r="G8" s="178" t="n">
        <x:f>SUM('规格明细'!L34,'规格明细'!L35)</x:f>
        <x:v>24.968001945599998</x:v>
      </x:c>
      <x:c r="H8" s="178" t="n">
        <x:f>SUM('规格明细'!L46,'规格明细'!L47)</x:f>
        <x:v>55.072566226944005</x:v>
      </x:c>
      <x:c r="I8" s="178" t="n">
        <x:f>SUM('规格明细'!L58,'规格明细'!L59)</x:f>
        <x:v>84.54970878197763</x:v>
      </x:c>
      <x:c r="J8" s="220"/>
      <x:c r="K8" s="178" t="n">
        <x:f>SUM('规格明细'!L75,'规格明细'!L76)</x:f>
        <x:v>0.9289727999999998</x:v>
      </x:c>
      <x:c r="L8" s="178" t="n">
        <x:f>SUM('规格明细'!L87,'规格明细'!L88)</x:f>
        <x:v>8.257535999999998</x:v>
      </x:c>
      <x:c r="M8" s="178" t="n">
        <x:f>SUM('规格明细'!L99,'规格明细'!L100)</x:f>
        <x:v>34.55778816</x:v>
      </x:c>
      <x:c r="N8" s="178" t="n">
        <x:f>SUM('规格明细'!L111,'规格明细'!L112)</x:f>
        <x:v>71.9902826496</x:v>
      </x:c>
      <x:c r="O8" s="178" t="n">
        <x:f>SUM('规格明细'!L123,'规格明细'!L124)</x:f>
        <x:v>110.52249513984002</x:v>
      </x:c>
      <x:c r="P8" s="220"/>
      <x:c r="Q8" s="178" t="n">
        <x:f>SUM('规格明细'!L140,'规格明细'!L141)</x:f>
        <x:v>1.14960384</x:v>
      </x:c>
      <x:c r="R8" s="178" t="n">
        <x:f>SUM('规格明细'!L152,'规格明细'!L153)</x:f>
        <x:v>10.092544000000004</x:v>
      </x:c>
      <x:c r="S8" s="178" t="n">
        <x:f>SUM('规格明细'!L164,'规格明细'!L165)</x:f>
        <x:v>41.81492367360001</x:v>
      </x:c>
      <x:c r="T8" s="178" t="n">
        <x:f>SUM('规格明细'!L176,'规格明细'!L177)</x:f>
        <x:v>87.10824200601601</x:v>
      </x:c>
      <x:c r="U8" s="178" t="n">
        <x:f>SUM('规格明细'!L188,'规格明细'!L189)</x:f>
        <x:v>133.73221911920643</x:v>
      </x:c>
      <x:c r="V8" s="184"/>
    </x:row>
    <x:row r="9">
      <x:c r="A9" s="177" t="str">
        <x:v>FAU棱镜阵列</x:v>
      </x:c>
      <x:c r="B9" s="177" t="str">
        <x:v>OPP-PRISM</x:v>
      </x:c>
      <x:c r="C9" s="177" t="str">
        <x:v>规格台数×32 FAU×36/72通道×规格价×45%</x:v>
      </x:c>
      <x:c r="D9" s="177" t="str">
        <x:v>是</x:v>
      </x:c>
      <x:c r="E9" s="178" t="n">
        <x:f>SUM('规格明细'!L12,'规格明细'!L13)</x:f>
        <x:v>1.1280384</x:v>
      </x:c>
      <x:c r="F9" s="178" t="n">
        <x:f>SUM('规格明细'!L24,'规格明细'!L25)</x:f>
        <x:v>9.0243072</x:v>
      </x:c>
      <x:c r="G9" s="178" t="n">
        <x:f>SUM('规格明细'!L36,'规格明细'!L37)</x:f>
        <x:v>32.487505920000004</x:v>
      </x:c>
      <x:c r="H9" s="178" t="n">
        <x:f>SUM('规格明细'!L48,'规格明细'!L49)</x:f>
        <x:v>61.3557006336</x:v>
      </x:c>
      <x:c r="I9" s="178" t="n">
        <x:f>SUM('规格明细'!L60,'规格明细'!L61)</x:f>
        <x:v>86.83910332416</x:v>
      </x:c>
      <x:c r="J9" s="220"/>
      <x:c r="K9" s="178" t="n">
        <x:f>SUM('规格明细'!L77,'规格明细'!L78)</x:f>
        <x:v>1.327104</x:v>
      </x:c>
      <x:c r="L9" s="178" t="n">
        <x:f>SUM('规格明细'!L89,'规格明细'!L90)</x:f>
        <x:v>10.616832000000002</x:v>
      </x:c>
      <x:c r="M9" s="178" t="n">
        <x:f>SUM('规格明细'!L101,'规格明细'!L102)</x:f>
        <x:v>38.2205952</x:v>
      </x:c>
      <x:c r="N9" s="178" t="n">
        <x:f>SUM('规格明细'!L113,'规格明细'!L114)</x:f>
        <x:v>72.183177216</x:v>
      </x:c>
      <x:c r="O9" s="178" t="n">
        <x:f>SUM('规格明细'!L125,'规格明细'!L126)</x:f>
        <x:v>102.1636509696</x:v>
      </x:c>
      <x:c r="P9" s="220"/>
      <x:c r="Q9" s="178" t="n">
        <x:f>SUM('规格明细'!L142,'规格明细'!L143)</x:f>
        <x:v>1.4598144000000004</x:v>
      </x:c>
      <x:c r="R9" s="178" t="n">
        <x:f>SUM('规格明细'!L154,'规格明细'!L155)</x:f>
        <x:v>11.678515200000003</x:v>
      </x:c>
      <x:c r="S9" s="178" t="n">
        <x:f>SUM('规格明细'!L166,'规格明细'!L167)</x:f>
        <x:v>42.04265472</x:v>
      </x:c>
      <x:c r="T9" s="178" t="n">
        <x:f>SUM('规格明细'!L178,'规格明细'!L179)</x:f>
        <x:v>79.40149493760002</x:v>
      </x:c>
      <x:c r="U9" s="178" t="n">
        <x:f>SUM('规格明细'!L190,'规格明细'!L191)</x:f>
        <x:v>112.38001606656002</x:v>
      </x:c>
      <x:c r="V9" s="184"/>
    </x:row>
    <x:row r="10">
      <x:c r="A10" s="177" t="str">
        <x:v>ELS透镜＋热沉</x:v>
      </x:c>
      <x:c r="B10" s="177" t="str">
        <x:v>OPP-ELS</x:v>
      </x:c>
      <x:c r="C10" s="177" t="str">
        <x:v>规格台数×128 CW×规格透镜及热沉价×份额</x:v>
      </x:c>
      <x:c r="D10" s="177" t="str">
        <x:v>是</x:v>
      </x:c>
      <x:c r="E10" s="178" t="n">
        <x:f>SUM('规格明细'!L14,'规格明细'!L15)</x:f>
        <x:v>0.5483520000000001</x:v>
      </x:c>
      <x:c r="F10" s="178" t="n">
        <x:f>SUM('规格明细'!L26,'规格明细'!L27)</x:f>
        <x:v>4.456448000000001</x:v>
      </x:c>
      <x:c r="G10" s="178" t="n">
        <x:f>SUM('规格明细'!L38,'规格明细'!L39)</x:f>
        <x:v>10.689208319999999</x:v>
      </x:c>
      <x:c r="H10" s="178" t="n">
        <x:f>SUM('规格明细'!L50,'规格明细'!L51)</x:f>
        <x:v>18.121936896</x:v>
      </x:c>
      <x:c r="I10" s="178" t="n">
        <x:f>SUM('规格明细'!L62,'规格明细'!L63)</x:f>
        <x:v>23.24481048576</x:v>
      </x:c>
      <x:c r="J10" s="220"/>
      <x:c r="K10" s="178" t="n">
        <x:f>SUM('规格明细'!L79,'规格明细'!L80)</x:f>
        <x:v>0.73728</x:v>
      </x:c>
      <x:c r="L10" s="178" t="n">
        <x:f>SUM('规格明细'!L91,'规格明细'!L92)</x:f>
        <x:v>5.89824</x:v>
      </x:c>
      <x:c r="M10" s="178" t="n">
        <x:f>SUM('规格明细'!L103,'规格明细'!L104)</x:f>
        <x:v>14.794751999999999</x:v>
      </x:c>
      <x:c r="N10" s="178" t="n">
        <x:f>SUM('规格明细'!L115,'规格明细'!L116)</x:f>
        <x:v>23.688806400000004</x:v>
      </x:c>
      <x:c r="O10" s="178" t="n">
        <x:f>SUM('规格明细'!L127,'规格明细'!L128)</x:f>
        <x:v>30.385373184000002</x:v>
      </x:c>
      <x:c r="P10" s="220"/>
      <x:c r="Q10" s="178" t="n">
        <x:f>SUM('规格明细'!L144,'规格明细'!L145)</x:f>
        <x:v>0.912384</x:v>
      </x:c>
      <x:c r="R10" s="178" t="n">
        <x:f>SUM('规格明细'!L156,'规格明细'!L157)</x:f>
        <x:v>7.208960000000001</x:v>
      </x:c>
      <x:c r="S10" s="178" t="n">
        <x:f>SUM('规格明细'!L168,'规格明细'!L169)</x:f>
        <x:v>17.901649920000004</x:v>
      </x:c>
      <x:c r="T10" s="178" t="n">
        <x:f>SUM('规格明细'!L180,'规格明细'!L181)</x:f>
        <x:v>28.663455744000004</x:v>
      </x:c>
      <x:c r="U10" s="178" t="n">
        <x:f>SUM('规格明细'!L192,'规格明细'!L193)</x:f>
        <x:v>36.76630155264</x:v>
      </x:c>
      <x:c r="V10" s="184"/>
    </x:row>
    <x:row r="11">
      <x:c r="A11" s="177" t="str">
        <x:v>FAU量测设备</x:v>
      </x:c>
      <x:c r="B11" s="177" t="str">
        <x:v>OPP-EQUIP</x:v>
      </x:c>
      <x:c r="C11" s="177" t="str">
        <x:v>规格台数×32/1000×规格设备价×份额</x:v>
      </x:c>
      <x:c r="D11" s="177" t="str">
        <x:v>是</x:v>
      </x:c>
      <x:c r="E11" s="178" t="n">
        <x:f>SUM('规格明细'!L16,'规格明细'!L17)</x:f>
        <x:v>0.030464000000000005</x:v>
      </x:c>
      <x:c r="F11" s="178" t="n">
        <x:f>SUM('规格明细'!L28,'规格明细'!L29)</x:f>
        <x:v>0.9284266666666666</x:v>
      </x:c>
      <x:c r="G11" s="178" t="n">
        <x:f>SUM('规格明细'!L40,'规格明细'!L41)</x:f>
        <x:v>3.8471680000000004</x:v>
      </x:c>
      <x:c r="H11" s="178" t="n">
        <x:f>SUM('规格明细'!L52,'规格明细'!L53)</x:f>
        <x:v>8.281583999999999</x:v>
      </x:c>
      <x:c r="I11" s="178" t="n">
        <x:f>SUM('规格明细'!L64,'规格明细'!L65)</x:f>
        <x:v>13.348454400000003</x:v>
      </x:c>
      <x:c r="J11" s="220"/>
      <x:c r="K11" s="178" t="n">
        <x:f>SUM('规格明细'!L81,'规格明细'!L82)</x:f>
        <x:v>0.04096</x:v>
      </x:c>
      <x:c r="L11" s="178" t="n">
        <x:f>SUM('规格明细'!L93,'规格明细'!L94)</x:f>
        <x:v>1.2288</x:v>
      </x:c>
      <x:c r="M11" s="178" t="n">
        <x:f>SUM('规格明细'!L105,'规格明细'!L106)</x:f>
        <x:v>5.3248</x:v>
      </x:c>
      <x:c r="N11" s="178" t="n">
        <x:f>SUM('规格明细'!L117,'规格明细'!L118)</x:f>
        <x:v>10.8256</x:v>
      </x:c>
      <x:c r="O11" s="178" t="n">
        <x:f>SUM('规格明细'!L129,'规格明细'!L130)</x:f>
        <x:v>17.448960000000003</x:v>
      </x:c>
      <x:c r="P11" s="220"/>
      <x:c r="Q11" s="178" t="n">
        <x:f>SUM('规格明细'!L146,'规格明细'!L147)</x:f>
        <x:v>0.050688000000000004</x:v>
      </x:c>
      <x:c r="R11" s="178" t="n">
        <x:f>SUM('规格明细'!L158,'规格明细'!L159)</x:f>
        <x:v>1.5018666666666667</x:v>
      </x:c>
      <x:c r="S11" s="178" t="n">
        <x:f>SUM('规格明细'!L170,'规格明细'!L171)</x:f>
        <x:v>6.443008000000001</x:v>
      </x:c>
      <x:c r="T11" s="178" t="n">
        <x:f>SUM('规格明细'!L182,'规格明细'!L183)</x:f>
        <x:v>13.098976</x:v>
      </x:c>
      <x:c r="U11" s="178" t="n">
        <x:f>SUM('规格明细'!L194,'规格明细'!L195)</x:f>
        <x:v>21.113241600000002</x:v>
      </x:c>
      <x:c r="V11" s="184"/>
    </x:row>
    <x:row r="12">
      <x:c r="A12" s="177" t="str">
        <x:v>理论预估收入合计</x:v>
      </x:c>
      <x:c r="B12" s="177" t="str">
        <x:v>OUT-REV</x:v>
      </x:c>
      <x:c r="C12" s="177" t="str">
        <x:v>七行加总</x:v>
      </x:c>
      <x:c r="D12" s="177" t="str">
        <x:v>输出</x:v>
      </x:c>
      <x:c r="E12" s="178" t="n">
        <x:f>SUM(E5:E11)</x:f>
        <x:v>4.628985920000001</x:v>
      </x:c>
      <x:c r="F12" s="178" t="n">
        <x:f>SUM(F5:F11)</x:f>
        <x:v>31.27924373333333</x:v>
      </x:c>
      <x:c r="G12" s="178" t="n">
        <x:f>SUM(G5:G11)</x:f>
        <x:v>89.2821387856</x:v>
      </x:c>
      <x:c r="H12" s="178" t="n">
        <x:f>SUM(H5:H11)</x:f>
        <x:v>167.297791748544</x:v>
      </x:c>
      <x:c r="I12" s="178" t="n">
        <x:f>SUM(I5:I11)</x:f>
        <x:v>236.30906327189766</x:v>
      </x:c>
      <x:c r="J12" s="220"/>
      <x:c r="K12" s="178" t="n">
        <x:f>SUM(K5:K11)</x:f>
        <x:v>6.2586368000000006</x:v>
      </x:c>
      <x:c r="L12" s="178" t="n">
        <x:f>SUM(L5:L11)</x:f>
        <x:v>41.247688000000004</x:v>
      </x:c>
      <x:c r="M12" s="178" t="n">
        <x:f>SUM(M5:M11)</x:f>
        <x:v>119.16886335999999</x:v>
      </x:c>
      <x:c r="N12" s="178" t="n">
        <x:f>SUM(N5:N11)</x:f>
        <x:v>214.0201181056</x:v>
      </x:c>
      <x:c r="O12" s="178" t="n">
        <x:f>SUM(O5:O11)</x:f>
        <x:v>301.63957849344</x:v>
      </x:c>
      <x:c r="P12" s="220"/>
      <x:c r="Q12" s="178" t="n">
        <x:f>SUM(Q5:Q11)</x:f>
        <x:v>7.76242624</x:v>
      </x:c>
      <x:c r="R12" s="178" t="n">
        <x:f>SUM(R5:R11)</x:f>
        <x:v>50.21304586666668</x:v>
      </x:c>
      <x:c r="S12" s="178" t="n">
        <x:f>SUM(S5:S11)</x:f>
        <x:v>143.27160031360003</x:v>
      </x:c>
      <x:c r="T12" s="178" t="n">
        <x:f>SUM(T5:T11)</x:f>
        <x:v>255.723335967616</x:v>
      </x:c>
      <x:c r="U12" s="178" t="n">
        <x:f>SUM(U5:U11)</x:f>
        <x:v>359.4826168184065</x:v>
      </x:c>
      <x:c r="V12" s="184"/>
    </x:row>
    <x:row r="13">
      <x:c r="A13" s="177" t="str">
        <x:v>理论预估净利润</x:v>
      </x:c>
      <x:c r="B13" s="177" t="str">
        <x:v>OUT-NP</x:v>
      </x:c>
      <x:c r="C13" s="177" t="str">
        <x:v>理论预估收入×33%</x:v>
      </x:c>
      <x:c r="D13" s="177" t="str">
        <x:v>输出</x:v>
      </x:c>
      <x:c r="E13" s="178" t="n">
        <x:f>E12*'机会输入'!E4</x:f>
        <x:v>1.5275653536000002</x:v>
      </x:c>
      <x:c r="F13" s="178" t="n">
        <x:f>F12*'机会输入'!F4</x:f>
        <x:v>10.322150431999999</x:v>
      </x:c>
      <x:c r="G13" s="178" t="n">
        <x:f>G12*'机会输入'!G4</x:f>
        <x:v>29.463105799248</x:v>
      </x:c>
      <x:c r="H13" s="178" t="n">
        <x:f>H12*'机会输入'!H4</x:f>
        <x:v>55.20827127701952</x:v>
      </x:c>
      <x:c r="I13" s="178" t="n">
        <x:f>I12*'机会输入'!I4</x:f>
        <x:v>77.98199087972623</x:v>
      </x:c>
      <x:c r="J13" s="220"/>
      <x:c r="K13" s="178" t="n">
        <x:f>K12*'机会输入'!E4</x:f>
        <x:v>2.0653501440000004</x:v>
      </x:c>
      <x:c r="L13" s="178" t="n">
        <x:f>L12*'机会输入'!F4</x:f>
        <x:v>13.611737040000001</x:v>
      </x:c>
      <x:c r="M13" s="178" t="n">
        <x:f>M12*'机会输入'!G4</x:f>
        <x:v>39.3257249088</x:v>
      </x:c>
      <x:c r="N13" s="178" t="n">
        <x:f>N12*'机会输入'!H4</x:f>
        <x:v>70.626638974848</x:v>
      </x:c>
      <x:c r="O13" s="178" t="n">
        <x:f>O12*'机会输入'!I4</x:f>
        <x:v>99.54106090283521</x:v>
      </x:c>
      <x:c r="P13" s="220"/>
      <x:c r="Q13" s="178" t="n">
        <x:f>Q12*'机会输入'!E4</x:f>
        <x:v>2.5616006592000002</x:v>
      </x:c>
      <x:c r="R13" s="178" t="n">
        <x:f>R12*'机会输入'!F4</x:f>
        <x:v>16.570305136000005</x:v>
      </x:c>
      <x:c r="S13" s="178" t="n">
        <x:f>S12*'机会输入'!G4</x:f>
        <x:v>47.279628103488015</x:v>
      </x:c>
      <x:c r="T13" s="178" t="n">
        <x:f>T12*'机会输入'!H4</x:f>
        <x:v>84.38870086931328</x:v>
      </x:c>
      <x:c r="U13" s="178" t="n">
        <x:f>U12*'机会输入'!I4</x:f>
        <x:v>118.62926355007414</x:v>
      </x:c>
      <x:c r="V13" s="184"/>
    </x:row>
    <x:row r="14">
      <x:c r="A14" s="184"/>
      <x:c r="B14" s="184"/>
      <x:c r="C14" s="184"/>
      <x:c r="D14" s="184"/>
      <x:c r="E14" s="184"/>
      <x:c r="F14" s="184"/>
      <x:c r="G14" s="184"/>
      <x:c r="H14" s="184"/>
      <x:c r="I14" s="184"/>
      <x:c r="J14" s="184"/>
      <x:c r="K14" s="184"/>
      <x:c r="L14" s="184"/>
      <x:c r="M14" s="184"/>
      <x:c r="N14" s="184"/>
      <x:c r="O14" s="184"/>
      <x:c r="P14" s="184"/>
      <x:c r="Q14" s="184"/>
      <x:c r="R14" s="184"/>
      <x:c r="S14" s="184"/>
      <x:c r="T14" s="184"/>
      <x:c r="U14" s="184"/>
      <x:c r="V14" s="184"/>
    </x:row>
    <x:row r="15">
      <x:c r="A15" s="176" t="str">
        <x:v>基准情形产品拆分</x:v>
      </x:c>
      <x:c r="B15" s="176" t="str">
        <x:v>行业组件空间（亿元）</x:v>
      </x:c>
      <x:c r="C15" s="176"/>
      <x:c r="D15" s="176"/>
      <x:c r="E15" s="176"/>
      <x:c r="F15" s="176"/>
      <x:c r="G15" s="176" t="str">
        <x:v>理论预估收入（亿元）</x:v>
      </x:c>
      <x:c r="H15" s="176"/>
      <x:c r="I15" s="176"/>
      <x:c r="J15" s="176"/>
      <x:c r="K15" s="176"/>
      <x:c r="L15" s="176" t="str">
        <x:v>理论预估净利润（亿元）</x:v>
      </x:c>
      <x:c r="M15" s="176"/>
      <x:c r="N15" s="176"/>
      <x:c r="O15" s="176"/>
      <x:c r="P15" s="176"/>
      <x:c r="Q15" s="184"/>
      <x:c r="R15" s="184"/>
      <x:c r="S15" s="184"/>
      <x:c r="T15" s="184"/>
      <x:c r="U15" s="184"/>
      <x:c r="V15" s="184"/>
    </x:row>
    <x:row r="16">
      <x:c r="A16" s="184"/>
      <x:c r="B16" s="176" t="str">
        <x:v>2026E</x:v>
      </x:c>
      <x:c r="C16" s="176" t="str">
        <x:v>2027E</x:v>
      </x:c>
      <x:c r="D16" s="176" t="str">
        <x:v>2028E</x:v>
      </x:c>
      <x:c r="E16" s="176" t="str">
        <x:v>2029E</x:v>
      </x:c>
      <x:c r="F16" s="176" t="str">
        <x:v>2030E</x:v>
      </x:c>
      <x:c r="G16" s="176" t="str">
        <x:v>2026E</x:v>
      </x:c>
      <x:c r="H16" s="176" t="str">
        <x:v>2027E</x:v>
      </x:c>
      <x:c r="I16" s="176" t="str">
        <x:v>2028E</x:v>
      </x:c>
      <x:c r="J16" s="176" t="str">
        <x:v>2029E</x:v>
      </x:c>
      <x:c r="K16" s="176" t="str">
        <x:v>2030E</x:v>
      </x:c>
      <x:c r="L16" s="176" t="str">
        <x:v>2026E</x:v>
      </x:c>
      <x:c r="M16" s="176" t="str">
        <x:v>2027E</x:v>
      </x:c>
      <x:c r="N16" s="176" t="str">
        <x:v>2028E</x:v>
      </x:c>
      <x:c r="O16" s="176" t="str">
        <x:v>2029E</x:v>
      </x:c>
      <x:c r="P16" s="176" t="str">
        <x:v>2030E</x:v>
      </x:c>
      <x:c r="Q16" s="184"/>
      <x:c r="R16" s="184"/>
      <x:c r="S16" s="184"/>
      <x:c r="T16" s="184"/>
      <x:c r="U16" s="184"/>
      <x:c r="V16" s="184"/>
    </x:row>
    <x:row r="17">
      <x:c r="A17" s="177" t="str">
        <x:v>800G可插拔透镜</x:v>
      </x:c>
      <x:c r="B17" s="178" t="n">
        <x:f>SUM('规格明细'!K71)</x:f>
        <x:v>22.4</x:v>
      </x:c>
      <x:c r="C17" s="178" t="n">
        <x:f>SUM('规格明细'!K83)</x:f>
        <x:v>26.1</x:v>
      </x:c>
      <x:c r="D17" s="178" t="n">
        <x:f>SUM('规格明细'!K95)</x:f>
        <x:v>16.2</x:v>
      </x:c>
      <x:c r="E17" s="178" t="n">
        <x:f>SUM('规格明细'!K107)</x:f>
        <x:v>9.3312</x:v>
      </x:c>
      <x:c r="F17" s="178" t="n">
        <x:f>SUM('规格明细'!K119)</x:f>
        <x:v>4.72392</x:v>
      </x:c>
      <x:c r="G17" s="178" t="n">
        <x:f>K5</x:f>
        <x:v>0.8959999999999999</x:v>
      </x:c>
      <x:c r="H17" s="178" t="n">
        <x:f>L5</x:f>
        <x:v>2.349</x:v>
      </x:c>
      <x:c r="I17" s="178" t="n">
        <x:f>M5</x:f>
        <x:v>1.62</x:v>
      </x:c>
      <x:c r="J17" s="178" t="n">
        <x:f>N5</x:f>
        <x:v>0.9331200000000002</x:v>
      </x:c>
      <x:c r="K17" s="178" t="n">
        <x:f>O5</x:f>
        <x:v>0.472392</x:v>
      </x:c>
      <x:c r="L17" s="178" t="n">
        <x:f>G17*'机会输入'!E4</x:f>
        <x:v>0.29568</x:v>
      </x:c>
      <x:c r="M17" s="178" t="n">
        <x:f>H17*'机会输入'!F4</x:f>
        <x:v>0.7751700000000001</x:v>
      </x:c>
      <x:c r="N17" s="178" t="n">
        <x:f>I17*'机会输入'!G4</x:f>
        <x:v>0.5346000000000001</x:v>
      </x:c>
      <x:c r="O17" s="178" t="n">
        <x:f>J17*'机会输入'!H4</x:f>
        <x:v>0.3079296000000001</x:v>
      </x:c>
      <x:c r="P17" s="178" t="n">
        <x:f>K17*'机会输入'!I4</x:f>
        <x:v>0.15588936</x:v>
      </x:c>
      <x:c r="Q17" s="184"/>
      <x:c r="R17" s="184"/>
      <x:c r="S17" s="184"/>
      <x:c r="T17" s="184"/>
      <x:c r="U17" s="184"/>
      <x:c r="V17" s="184"/>
    </x:row>
    <x:row r="18">
      <x:c r="A18" s="177" t="str">
        <x:v>1.6T可插拔透镜</x:v>
      </x:c>
      <x:c r="B18" s="178" t="n">
        <x:f>SUM('规格明细'!K72)</x:f>
        <x:v>10.527999999999999</x:v>
      </x:c>
      <x:c r="C18" s="178" t="n">
        <x:f>SUM('规格明细'!K84)</x:f>
        <x:v>32.256</x:v>
      </x:c>
      <x:c r="D18" s="178" t="n">
        <x:f>SUM('规格明细'!K96)</x:f>
        <x:v>47.628</x:v>
      </x:c>
      <x:c r="E18" s="178" t="n">
        <x:f>SUM('规格明细'!K108)</x:f>
        <x:v>59.1948</x:v>
      </x:c>
      <x:c r="F18" s="178" t="n">
        <x:f>SUM('规格明细'!K120)</x:f>
        <x:v>58.78655999999999</x:v>
      </x:c>
      <x:c r="G18" s="178" t="n">
        <x:f>K6</x:f>
        <x:v>0.42111999999999994</x:v>
      </x:c>
      <x:c r="H18" s="178" t="n">
        <x:f>L6</x:f>
        <x:v>2.90304</x:v>
      </x:c>
      <x:c r="I18" s="178" t="n">
        <x:f>M6</x:f>
        <x:v>4.7628</x:v>
      </x:c>
      <x:c r="J18" s="178" t="n">
        <x:f>N6</x:f>
        <x:v>5.91948</x:v>
      </x:c>
      <x:c r="K18" s="178" t="n">
        <x:f>O6</x:f>
        <x:v>5.878655999999999</x:v>
      </x:c>
      <x:c r="L18" s="178" t="n">
        <x:f>G18*'机会输入'!E4</x:f>
        <x:v>0.1389696</x:v>
      </x:c>
      <x:c r="M18" s="178" t="n">
        <x:f>H18*'机会输入'!F4</x:f>
        <x:v>0.9580031999999999</x:v>
      </x:c>
      <x:c r="N18" s="178" t="n">
        <x:f>I18*'机会输入'!G4</x:f>
        <x:v>1.5717240000000001</x:v>
      </x:c>
      <x:c r="O18" s="178" t="n">
        <x:f>J18*'机会输入'!H4</x:f>
        <x:v>1.9534284000000002</x:v>
      </x:c>
      <x:c r="P18" s="178" t="n">
        <x:f>K18*'机会输入'!I4</x:f>
        <x:v>1.93995648</x:v>
      </x:c>
      <x:c r="Q18" s="184"/>
      <x:c r="R18" s="184"/>
      <x:c r="S18" s="184"/>
      <x:c r="T18" s="184"/>
      <x:c r="U18" s="184"/>
      <x:c r="V18" s="184"/>
    </x:row>
    <x:row r="19">
      <x:c r="A19" s="177" t="str">
        <x:v>OCS NxN透镜阵列</x:v>
      </x:c>
      <x:c r="B19" s="178" t="n">
        <x:f>SUM('规格明细'!K73,'规格明细'!K74)</x:f>
        <x:v>2.048</x:v>
      </x:c>
      <x:c r="C19" s="178" t="n">
        <x:f>SUM('规格明细'!K85,'规格明细'!K86)</x:f>
        <x:v>10.6496</x:v>
      </x:c>
      <x:c r="D19" s="178" t="n">
        <x:f>SUM('规格明细'!K97,'规格明细'!K98)</x:f>
        <x:v>23.592959999999998</x:v>
      </x:c>
      <x:c r="E19" s="178" t="n">
        <x:f>SUM('规格明细'!K109,'规格明细'!K110)</x:f>
        <x:v>38.2205952</x:v>
      </x:c>
      <x:c r="F19" s="178" t="n">
        <x:f>SUM('规格明细'!K121,'规格明细'!K122)</x:f>
        <x:v>53.74771200000001</x:v>
      </x:c>
      <x:c r="G19" s="178" t="n">
        <x:f>K7</x:f>
        <x:v>1.9072000000000002</x:v>
      </x:c>
      <x:c r="H19" s="178" t="n">
        <x:f>L7</x:f>
        <x:v>9.994240000000001</x:v>
      </x:c>
      <x:c r="I19" s="178" t="n">
        <x:f>M7</x:f>
        <x:v>19.888128000000002</x:v>
      </x:c>
      <x:c r="J19" s="178" t="n">
        <x:f>N7</x:f>
        <x:v>28.479651839999995</x:v>
      </x:c>
      <x:c r="K19" s="178" t="n">
        <x:f>O7</x:f>
        <x:v>34.76805120000001</x:v>
      </x:c>
      <x:c r="L19" s="178" t="n">
        <x:f>G19*'机会输入'!E4</x:f>
        <x:v>0.6293760000000002</x:v>
      </x:c>
      <x:c r="M19" s="178" t="n">
        <x:f>H19*'机会输入'!F4</x:f>
        <x:v>3.2980992000000007</x:v>
      </x:c>
      <x:c r="N19" s="178" t="n">
        <x:f>I19*'机会输入'!G4</x:f>
        <x:v>6.563082240000001</x:v>
      </x:c>
      <x:c r="O19" s="178" t="n">
        <x:f>J19*'机会输入'!H4</x:f>
        <x:v>9.3982851072</x:v>
      </x:c>
      <x:c r="P19" s="178" t="n">
        <x:f>K19*'机会输入'!I4</x:f>
        <x:v>11.473456896000004</x:v>
      </x:c>
      <x:c r="Q19" s="184"/>
      <x:c r="R19" s="184"/>
      <x:c r="S19" s="184"/>
      <x:c r="T19" s="184"/>
      <x:c r="U19" s="184"/>
      <x:c r="V19" s="184"/>
    </x:row>
    <x:row r="20">
      <x:c r="A20" s="177" t="str">
        <x:v>FAU V型槽</x:v>
      </x:c>
      <x:c r="B20" s="178" t="n">
        <x:f>SUM('规格明细'!K75,'规格明细'!K76)</x:f>
        <x:v>2.0643839999999996</x:v>
      </x:c>
      <x:c r="C20" s="178" t="n">
        <x:f>SUM('规格明细'!K87,'规格明细'!K88)</x:f>
        <x:v>16.515071999999996</x:v>
      </x:c>
      <x:c r="D20" s="178" t="n">
        <x:f>SUM('规格明细'!K99,'规格明细'!K100)</x:f>
        <x:v>59.454259199999996</x:v>
      </x:c>
      <x:c r="E20" s="178" t="n">
        <x:f>SUM('规格明细'!K111,'规格明细'!K112)</x:f>
        <x:v>112.284942336</x:v>
      </x:c>
      <x:c r="F20" s="178" t="n">
        <x:f>SUM('规格明细'!K123,'规格明细'!K124)</x:f>
        <x:v>158.9212348416</x:v>
      </x:c>
      <x:c r="G20" s="178" t="n">
        <x:f>K8</x:f>
        <x:v>0.9289727999999998</x:v>
      </x:c>
      <x:c r="H20" s="178" t="n">
        <x:f>L8</x:f>
        <x:v>8.257535999999998</x:v>
      </x:c>
      <x:c r="I20" s="178" t="n">
        <x:f>M8</x:f>
        <x:v>34.55778816</x:v>
      </x:c>
      <x:c r="J20" s="178" t="n">
        <x:f>N8</x:f>
        <x:v>71.9902826496</x:v>
      </x:c>
      <x:c r="K20" s="178" t="n">
        <x:f>O8</x:f>
        <x:v>110.52249513984002</x:v>
      </x:c>
      <x:c r="L20" s="178" t="n">
        <x:f>G20*'机会输入'!E4</x:f>
        <x:v>0.30656102399999996</x:v>
      </x:c>
      <x:c r="M20" s="178" t="n">
        <x:f>H20*'机会输入'!F4</x:f>
        <x:v>2.7249868799999994</x:v>
      </x:c>
      <x:c r="N20" s="178" t="n">
        <x:f>I20*'机会输入'!G4</x:f>
        <x:v>11.404070092800001</x:v>
      </x:c>
      <x:c r="O20" s="178" t="n">
        <x:f>J20*'机会输入'!H4</x:f>
        <x:v>23.756793274368004</x:v>
      </x:c>
      <x:c r="P20" s="178" t="n">
        <x:f>K20*'机会输入'!I4</x:f>
        <x:v>36.47242339614721</x:v>
      </x:c>
      <x:c r="Q20" s="184"/>
      <x:c r="R20" s="184"/>
      <x:c r="S20" s="184"/>
      <x:c r="T20" s="184"/>
      <x:c r="U20" s="184"/>
      <x:c r="V20" s="184"/>
    </x:row>
    <x:row r="21">
      <x:c r="A21" s="177" t="str">
        <x:v>FAU棱镜阵列</x:v>
      </x:c>
      <x:c r="B21" s="178" t="n">
        <x:f>SUM('规格明细'!K77,'规格明细'!K78)</x:f>
        <x:v>2.94912</x:v>
      </x:c>
      <x:c r="C21" s="178" t="n">
        <x:f>SUM('规格明细'!K89,'规格明细'!K90)</x:f>
        <x:v>23.592960000000005</x:v>
      </x:c>
      <x:c r="D21" s="178" t="n">
        <x:f>SUM('规格明细'!K101,'规格明细'!K102)</x:f>
        <x:v>84.93465599999999</x:v>
      </x:c>
      <x:c r="E21" s="178" t="n">
        <x:f>SUM('规格明细'!K113,'规格明细'!K114)</x:f>
        <x:v>160.40706048</x:v>
      </x:c>
      <x:c r="F21" s="178" t="n">
        <x:f>SUM('规格明细'!K125,'规格明细'!K126)</x:f>
        <x:v>227.030335488</x:v>
      </x:c>
      <x:c r="G21" s="178" t="n">
        <x:f>K9</x:f>
        <x:v>1.327104</x:v>
      </x:c>
      <x:c r="H21" s="178" t="n">
        <x:f>L9</x:f>
        <x:v>10.616832000000002</x:v>
      </x:c>
      <x:c r="I21" s="178" t="n">
        <x:f>M9</x:f>
        <x:v>38.2205952</x:v>
      </x:c>
      <x:c r="J21" s="178" t="n">
        <x:f>N9</x:f>
        <x:v>72.183177216</x:v>
      </x:c>
      <x:c r="K21" s="178" t="n">
        <x:f>O9</x:f>
        <x:v>102.1636509696</x:v>
      </x:c>
      <x:c r="L21" s="178" t="n">
        <x:f>G21*'机会输入'!E4</x:f>
        <x:v>0.43794432000000005</x:v>
      </x:c>
      <x:c r="M21" s="178" t="n">
        <x:f>H21*'机会输入'!F4</x:f>
        <x:v>3.503554560000001</x:v>
      </x:c>
      <x:c r="N21" s="178" t="n">
        <x:f>I21*'机会输入'!G4</x:f>
        <x:v>12.612796416</x:v>
      </x:c>
      <x:c r="O21" s="178" t="n">
        <x:f>J21*'机会输入'!H4</x:f>
        <x:v>23.820448481280003</x:v>
      </x:c>
      <x:c r="P21" s="178" t="n">
        <x:f>K21*'机会输入'!I4</x:f>
        <x:v>33.714004819968004</x:v>
      </x:c>
      <x:c r="Q21" s="184"/>
      <x:c r="R21" s="184"/>
      <x:c r="S21" s="184"/>
      <x:c r="T21" s="184"/>
      <x:c r="U21" s="184"/>
      <x:c r="V21" s="184"/>
    </x:row>
    <x:row r="22">
      <x:c r="A22" s="177" t="str">
        <x:v>ELS透镜＋热沉</x:v>
      </x:c>
      <x:c r="B22" s="178" t="n">
        <x:f>SUM('规格明细'!K79,'规格明细'!K80)</x:f>
        <x:v>1.6384</x:v>
      </x:c>
      <x:c r="C22" s="178" t="n">
        <x:f>SUM('规格明细'!K91,'规格明细'!K92)</x:f>
        <x:v>13.1072</x:v>
      </x:c>
      <x:c r="D22" s="178" t="n">
        <x:f>SUM('规格明细'!K103,'规格明细'!K104)</x:f>
        <x:v>32.44032</x:v>
      </x:c>
      <x:c r="E22" s="178" t="n">
        <x:f>SUM('规格明细'!K115,'规格明细'!K116)</x:f>
        <x:v>52.4537856</x:v>
      </x:c>
      <x:c r="F22" s="178" t="n">
        <x:f>SUM('规格明细'!K127,'规格明细'!K128)</x:f>
        <x:v>68.79707136</x:v>
      </x:c>
      <x:c r="G22" s="178" t="n">
        <x:f>K10</x:f>
        <x:v>0.73728</x:v>
      </x:c>
      <x:c r="H22" s="178" t="n">
        <x:f>L10</x:f>
        <x:v>5.89824</x:v>
      </x:c>
      <x:c r="I22" s="178" t="n">
        <x:f>M10</x:f>
        <x:v>14.794751999999999</x:v>
      </x:c>
      <x:c r="J22" s="178" t="n">
        <x:f>N10</x:f>
        <x:v>23.688806400000004</x:v>
      </x:c>
      <x:c r="K22" s="178" t="n">
        <x:f>O10</x:f>
        <x:v>30.385373184000002</x:v>
      </x:c>
      <x:c r="L22" s="178" t="n">
        <x:f>G22*'机会输入'!E4</x:f>
        <x:v>0.24330240000000003</x:v>
      </x:c>
      <x:c r="M22" s="178" t="n">
        <x:f>H22*'机会输入'!F4</x:f>
        <x:v>1.9464192000000002</x:v>
      </x:c>
      <x:c r="N22" s="178" t="n">
        <x:f>I22*'机会输入'!G4</x:f>
        <x:v>4.88226816</x:v>
      </x:c>
      <x:c r="O22" s="178" t="n">
        <x:f>J22*'机会输入'!H4</x:f>
        <x:v>7.817306112000002</x:v>
      </x:c>
      <x:c r="P22" s="178" t="n">
        <x:f>K22*'机会输入'!I4</x:f>
        <x:v>10.027173150720001</x:v>
      </x:c>
      <x:c r="Q22" s="184"/>
      <x:c r="R22" s="184"/>
      <x:c r="S22" s="184"/>
      <x:c r="T22" s="184"/>
      <x:c r="U22" s="184"/>
      <x:c r="V22" s="184"/>
    </x:row>
    <x:row r="23">
      <x:c r="A23" s="177" t="str">
        <x:v>FAU量测设备</x:v>
      </x:c>
      <x:c r="B23" s="178" t="n">
        <x:f>SUM('规格明细'!K81,'规格明细'!K82)</x:f>
        <x:v>0.4096</x:v>
      </x:c>
      <x:c r="C23" s="178" t="n">
        <x:f>SUM('规格明细'!K93,'规格明细'!K94)</x:f>
        <x:v>4.096</x:v>
      </x:c>
      <x:c r="D23" s="178" t="n">
        <x:f>SUM('规格明细'!K105,'规格明细'!K106)</x:f>
        <x:v>11.264</x:v>
      </x:c>
      <x:c r="E23" s="178" t="n">
        <x:f>SUM('规格明细'!K117,'规格明细'!K118)</x:f>
        <x:v>20.2368</x:v>
      </x:c>
      <x:c r="F23" s="178" t="n">
        <x:f>SUM('规格明细'!K129,'规格明细'!K130)</x:f>
        <x:v>29.4912</x:v>
      </x:c>
      <x:c r="G23" s="178" t="n">
        <x:f>K11</x:f>
        <x:v>0.04096</x:v>
      </x:c>
      <x:c r="H23" s="178" t="n">
        <x:f>L11</x:f>
        <x:v>1.2288</x:v>
      </x:c>
      <x:c r="I23" s="178" t="n">
        <x:f>M11</x:f>
        <x:v>5.3248</x:v>
      </x:c>
      <x:c r="J23" s="178" t="n">
        <x:f>N11</x:f>
        <x:v>10.8256</x:v>
      </x:c>
      <x:c r="K23" s="178" t="n">
        <x:f>O11</x:f>
        <x:v>17.448960000000003</x:v>
      </x:c>
      <x:c r="L23" s="178" t="n">
        <x:f>G23*'机会输入'!E4</x:f>
        <x:v>0.013516800000000002</x:v>
      </x:c>
      <x:c r="M23" s="178" t="n">
        <x:f>H23*'机会输入'!F4</x:f>
        <x:v>0.405504</x:v>
      </x:c>
      <x:c r="N23" s="178" t="n">
        <x:f>I23*'机会输入'!G4</x:f>
        <x:v>1.757184</x:v>
      </x:c>
      <x:c r="O23" s="178" t="n">
        <x:f>J23*'机会输入'!H4</x:f>
        <x:v>3.572448</x:v>
      </x:c>
      <x:c r="P23" s="178" t="n">
        <x:f>K23*'机会输入'!I4</x:f>
        <x:v>5.758156800000001</x:v>
      </x:c>
      <x:c r="Q23" s="184"/>
      <x:c r="R23" s="184"/>
      <x:c r="S23" s="184"/>
      <x:c r="T23" s="184"/>
      <x:c r="U23" s="184"/>
      <x:c r="V23" s="184"/>
    </x:row>
    <x:row r="24">
      <x:c r="A24" s="197" t="str">
        <x:v>合计（亿元）</x:v>
      </x:c>
      <x:c r="B24" s="214" t="n">
        <x:f>SUM(B17:B23)</x:f>
        <x:v>42.03750399999999</x:v>
      </x:c>
      <x:c r="C24" s="214" t="n">
        <x:f>SUM(C17:C23)</x:f>
        <x:v>126.316832</x:v>
      </x:c>
      <x:c r="D24" s="214" t="n">
        <x:f>SUM(D17:D23)</x:f>
        <x:v>275.5141952</x:v>
      </x:c>
      <x:c r="E24" s="214" t="n">
        <x:f>SUM(E17:E23)</x:f>
        <x:v>452.12918361600003</x:v>
      </x:c>
      <x:c r="F24" s="214" t="n">
        <x:f>SUM(F17:F23)</x:f>
        <x:v>601.4980336896</x:v>
      </x:c>
      <x:c r="G24" s="214" t="n">
        <x:f>K12</x:f>
        <x:v>6.2586368000000006</x:v>
      </x:c>
      <x:c r="H24" s="214" t="n">
        <x:f>L12</x:f>
        <x:v>41.247688000000004</x:v>
      </x:c>
      <x:c r="I24" s="214" t="n">
        <x:f>M12</x:f>
        <x:v>119.16886335999999</x:v>
      </x:c>
      <x:c r="J24" s="214" t="n">
        <x:f>N12</x:f>
        <x:v>214.0201181056</x:v>
      </x:c>
      <x:c r="K24" s="214" t="n">
        <x:f>O12</x:f>
        <x:v>301.63957849344</x:v>
      </x:c>
      <x:c r="L24" s="214" t="n">
        <x:f>SUM(L17:L23)</x:f>
        <x:v>2.0653501440000004</x:v>
      </x:c>
      <x:c r="M24" s="214" t="n">
        <x:f>SUM(M17:M23)</x:f>
        <x:v>13.611737040000001</x:v>
      </x:c>
      <x:c r="N24" s="214" t="n">
        <x:f>SUM(N17:N23)</x:f>
        <x:v>39.325724908800005</x:v>
      </x:c>
      <x:c r="O24" s="214" t="n">
        <x:f>SUM(O17:O23)</x:f>
        <x:v>70.626638974848</x:v>
      </x:c>
      <x:c r="P24" s="214" t="n">
        <x:f>SUM(P17:P23)</x:f>
        <x:v>99.54106090283521</x:v>
      </x:c>
      <x:c r="Q24" s="184"/>
      <x:c r="R24" s="184"/>
      <x:c r="S24" s="184"/>
      <x:c r="T24" s="184"/>
      <x:c r="U24" s="184"/>
      <x:c r="V24" s="184"/>
    </x:row>
    <x:row r="25" ht="34" customHeight="1">
      <x:c r="A25" s="198" t="str">
        <x:v>本表合计为已定义且经去重的组件产品空间。逐年、逐情形的单价与组件数量见“量价空间”表；收入按公司份额和产品兑现率进入公司预测。</x:v>
      </x:c>
      <x:c r="B25" s="198"/>
      <x:c r="C25" s="198"/>
      <x:c r="D25" s="198"/>
      <x:c r="E25" s="198"/>
      <x:c r="F25" s="198"/>
      <x:c r="G25" s="198"/>
      <x:c r="H25" s="198"/>
      <x:c r="I25" s="198"/>
      <x:c r="J25" s="198"/>
      <x:c r="K25" s="198"/>
      <x:c r="L25" s="198"/>
      <x:c r="M25" s="198"/>
      <x:c r="N25" s="198"/>
      <x:c r="O25" s="198"/>
      <x:c r="P25" s="198"/>
      <x:c r="Q25" s="184"/>
      <x:c r="R25" s="184"/>
      <x:c r="S25" s="184"/>
      <x:c r="T25" s="184"/>
      <x:c r="U25" s="184"/>
      <x:c r="V25" s="184"/>
    </x:row>
    <x:row r="26">
      <x:c r="A26" s="184"/>
      <x:c r="B26" s="184"/>
      <x:c r="C26" s="184"/>
      <x:c r="D26" s="184"/>
      <x:c r="E26" s="184"/>
      <x:c r="F26" s="184"/>
      <x:c r="G26" s="184"/>
      <x:c r="H26" s="184"/>
      <x:c r="I26" s="184"/>
      <x:c r="J26" s="184"/>
      <x:c r="K26" s="184"/>
      <x:c r="L26" s="184"/>
      <x:c r="M26" s="184"/>
      <x:c r="N26" s="184"/>
      <x:c r="O26" s="184"/>
      <x:c r="P26" s="184"/>
      <x:c r="Q26" s="184"/>
      <x:c r="R26" s="184"/>
      <x:c r="S26" s="184"/>
      <x:c r="T26" s="184"/>
      <x:c r="U26" s="184"/>
      <x:c r="V26" s="184"/>
    </x:row>
    <x:row r="27">
      <x:c r="A27" s="176" t="str">
        <x:v>基准驱动</x:v>
      </x:c>
      <x:c r="B27" s="176" t="str">
        <x:v>2026E</x:v>
      </x:c>
      <x:c r="C27" s="176" t="str">
        <x:v>2027E</x:v>
      </x:c>
      <x:c r="D27" s="176" t="str">
        <x:v>2028E</x:v>
      </x:c>
      <x:c r="E27" s="176" t="str">
        <x:v>2029E</x:v>
      </x:c>
      <x:c r="F27" s="176" t="str">
        <x:v>2030E</x:v>
      </x:c>
      <x:c r="G27" s="184"/>
      <x:c r="H27" s="184"/>
      <x:c r="I27" s="184"/>
      <x:c r="J27" s="184"/>
      <x:c r="K27" s="184"/>
      <x:c r="L27" s="184"/>
      <x:c r="M27" s="184"/>
      <x:c r="N27" s="184"/>
      <x:c r="O27" s="184"/>
      <x:c r="P27" s="184"/>
      <x:c r="Q27" s="184"/>
      <x:c r="R27" s="184"/>
      <x:c r="S27" s="184"/>
      <x:c r="T27" s="184"/>
      <x:c r="U27" s="184"/>
      <x:c r="V27" s="184"/>
    </x:row>
    <x:row r="28">
      <x:c r="A28" s="177" t="str">
        <x:v>OCS混合有效通道价（元）</x:v>
      </x:c>
      <x:c r="B28" s="177" t="n">
        <x:f>IF(SUM('规格明细'!G73,'规格明细'!G74)=0,0,SUM('规格明细'!K73,'规格明细'!K74)*100000000/SUM('规格明细'!G73,'规格明细'!G74))</x:f>
        <x:v>29.09090909090909</x:v>
      </x:c>
      <x:c r="C28" s="177" t="n">
        <x:f>IF(SUM('规格明细'!G85,'规格明细'!G86)=0,0,SUM('规格明细'!K85,'规格明细'!K86)*100000000/SUM('规格明细'!G85,'规格明细'!G86))</x:f>
        <x:v>26</x:v>
      </x:c>
      <x:c r="D28" s="177" t="n">
        <x:f>IF(SUM('规格明细'!G97,'规格明细'!G98)=0,0,SUM('规格明细'!K97,'规格明细'!K98)*100000000/SUM('规格明细'!G97,'规格明细'!G98))</x:f>
        <x:v>25.24931506849315</x:v>
      </x:c>
      <x:c r="E28" s="177" t="n">
        <x:f>IF(SUM('规格明细'!G109,'规格明细'!G110)=0,0,SUM('规格明细'!K109,'规格明细'!K110)*100000000/SUM('规格明细'!G109,'规格明细'!G110))</x:f>
        <x:v>23.623291139240507</x:v>
      </x:c>
      <x:c r="F28" s="177" t="n">
        <x:f>IF(SUM('规格明细'!G121,'规格明细'!G122)=0,0,SUM('规格明细'!K121,'规格明细'!K122)*100000000/SUM('规格明细'!G121,'规格明细'!G122))</x:f>
        <x:v>21.955764705882356</x:v>
      </x:c>
      <x:c r="G28" s="184"/>
      <x:c r="H28" s="184"/>
      <x:c r="I28" s="184"/>
      <x:c r="J28" s="184"/>
      <x:c r="K28" s="184"/>
      <x:c r="L28" s="184"/>
      <x:c r="M28" s="184"/>
      <x:c r="N28" s="184"/>
      <x:c r="O28" s="184"/>
      <x:c r="P28" s="184"/>
      <x:c r="Q28" s="184"/>
      <x:c r="R28" s="184"/>
      <x:c r="S28" s="184"/>
      <x:c r="T28" s="184"/>
      <x:c r="U28" s="184"/>
      <x:c r="V28" s="184"/>
    </x:row>
    <x:row r="29">
      <x:c r="A29" s="177" t="str">
        <x:v>OCS混合单机价值（元）</x:v>
      </x:c>
      <x:c r="B29" s="177" t="n">
        <x:f>IF(SUM('规格明细'!D73,'规格明细'!D74)=0,0,SUM('规格明细'!K73,'规格明细'!K74)*10000/SUM('规格明细'!D73,'规格明细'!D74))</x:f>
        <x:v>10240</x:v>
      </x:c>
      <x:c r="C29" s="177" t="n">
        <x:f>IF(SUM('规格明细'!D85,'规格明细'!D86)=0,0,SUM('规格明细'!K85,'规格明细'!K86)*10000/SUM('规格明细'!D85,'规格明细'!D86))</x:f>
        <x:v>10649.6</x:v>
      </x:c>
      <x:c r="D29" s="177" t="n">
        <x:f>IF(SUM('规格明细'!D97,'规格明细'!D98)=0,0,SUM('规格明细'!K97,'规格明细'!K98)*10000/SUM('规格明细'!D97,'规格明细'!D98))</x:f>
        <x:v>11796.48</x:v>
      </x:c>
      <x:c r="E29" s="177" t="n">
        <x:f>IF(SUM('规格明细'!D109,'规格明细'!D110)=0,0,SUM('规格明细'!K109,'规格明细'!K110)*10000/SUM('规格明细'!D109,'规格明细'!D110))</x:f>
        <x:v>11943.936</x:v>
      </x:c>
      <x:c r="F29" s="177" t="n">
        <x:f>IF(SUM('规格明细'!D121,'规格明细'!D122)=0,0,SUM('规格明细'!K121,'规格明细'!K122)*10000/SUM('规格明细'!D121,'规格明细'!D122))</x:f>
        <x:v>11943.936000000003</x:v>
      </x:c>
      <x:c r="G29" s="184"/>
      <x:c r="H29" s="184"/>
      <x:c r="I29" s="184"/>
      <x:c r="J29" s="184"/>
      <x:c r="K29" s="184"/>
      <x:c r="L29" s="184"/>
      <x:c r="M29" s="184"/>
      <x:c r="N29" s="184"/>
      <x:c r="O29" s="184"/>
      <x:c r="P29" s="184"/>
      <x:c r="Q29" s="184"/>
      <x:c r="R29" s="184"/>
      <x:c r="S29" s="184"/>
      <x:c r="T29" s="184"/>
      <x:c r="U29" s="184"/>
      <x:c r="V29" s="184"/>
    </x:row>
    <x:row r="30">
      <x:c r="A30" s="177" t="str">
        <x:v>OCS理论预估收入（亿元）</x:v>
      </x:c>
      <x:c r="B30" s="177" t="n">
        <x:f>K7</x:f>
        <x:v>1.9072000000000002</x:v>
      </x:c>
      <x:c r="C30" s="177" t="n">
        <x:f>L7</x:f>
        <x:v>9.994240000000001</x:v>
      </x:c>
      <x:c r="D30" s="177" t="n">
        <x:f>M7</x:f>
        <x:v>19.888128000000002</x:v>
      </x:c>
      <x:c r="E30" s="177" t="n">
        <x:f>N7</x:f>
        <x:v>28.479651839999995</x:v>
      </x:c>
      <x:c r="F30" s="177" t="n">
        <x:f>O7</x:f>
        <x:v>34.76805120000001</x:v>
      </x:c>
      <x:c r="G30" s="184"/>
      <x:c r="H30" s="184"/>
      <x:c r="I30" s="184"/>
      <x:c r="J30" s="184"/>
      <x:c r="K30" s="184"/>
      <x:c r="L30" s="184"/>
      <x:c r="M30" s="184"/>
      <x:c r="N30" s="184"/>
      <x:c r="O30" s="184"/>
      <x:c r="P30" s="184"/>
      <x:c r="Q30" s="184"/>
      <x:c r="R30" s="184"/>
      <x:c r="S30" s="184"/>
      <x:c r="T30" s="184"/>
      <x:c r="U30" s="184"/>
      <x:c r="V30" s="184"/>
    </x:row>
    <x:row r="31">
      <x:c r="A31" s="177" t="str">
        <x:v>V槽单只ASP（元）</x:v>
      </x:c>
      <x:c r="B31" s="177" t="n">
        <x:f>IF(SUM('规格明细'!D75,'规格明细'!D76)=0,0,SUM('规格明细'!K75,'规格明细'!K76)*10000/(SUM('规格明细'!D75,'规格明细'!D76)*'机会输入'!E17))</x:f>
        <x:v>322.55999999999995</x:v>
      </x:c>
      <x:c r="C31" s="177" t="n">
        <x:f>IF(SUM('规格明细'!D87,'规格明细'!D88)=0,0,SUM('规格明细'!K87,'规格明细'!K88)*10000/(SUM('规格明细'!D87,'规格明细'!D88)*'机会输入'!F17))</x:f>
        <x:v>258.04799999999994</x:v>
      </x:c>
      <x:c r="D31" s="177" t="n">
        <x:f>IF(SUM('规格明细'!D99,'规格明细'!D100)=0,0,SUM('规格明细'!K99,'规格明细'!K100)*10000/(SUM('规格明细'!D99,'规格明细'!D100)*'机会输入'!G17))</x:f>
        <x:v>371.58912</x:v>
      </x:c>
      <x:c r="E31" s="177" t="n">
        <x:f>IF(SUM('规格明细'!D111,'规格明细'!D112)=0,0,SUM('规格明细'!K111,'规格明细'!K112)*10000/(SUM('规格明细'!D111,'规格明细'!D112)*'机会输入'!H17))</x:f>
        <x:v>412.81228799999997</x:v>
      </x:c>
      <x:c r="F31" s="177" t="n">
        <x:f>IF(SUM('规格明细'!D123,'规格明细'!D124)=0,0,SUM('规格明细'!K123,'规格明细'!K124)*10000/(SUM('规格明细'!D123,'规格明细'!D124)*'机会输入'!I17))</x:f>
        <x:v>413.85738240000006</x:v>
      </x:c>
      <x:c r="G31" s="184"/>
      <x:c r="H31" s="184"/>
      <x:c r="I31" s="184"/>
      <x:c r="J31" s="184"/>
      <x:c r="K31" s="184"/>
      <x:c r="L31" s="184"/>
      <x:c r="M31" s="184"/>
      <x:c r="N31" s="184"/>
      <x:c r="O31" s="184"/>
      <x:c r="P31" s="184"/>
      <x:c r="Q31" s="184"/>
      <x:c r="R31" s="184"/>
      <x:c r="S31" s="184"/>
      <x:c r="T31" s="184"/>
      <x:c r="U31" s="184"/>
      <x:c r="V31" s="184"/>
    </x:row>
    <x:row r="32">
      <x:c r="A32" s="177" t="str">
        <x:v>FAU棱镜单只ASP（元）</x:v>
      </x:c>
      <x:c r="B32" s="177" t="n">
        <x:f>IF(SUM('规格明细'!D77,'规格明细'!D78)=0,0,SUM('规格明细'!K77,'规格明细'!K78)*10000/(SUM('规格明细'!D77,'规格明细'!D78)*'机会输入'!E21))</x:f>
        <x:v>460.8</x:v>
      </x:c>
      <x:c r="C32" s="177" t="n">
        <x:f>IF(SUM('规格明细'!D89,'规格明细'!D90)=0,0,SUM('规格明细'!K89,'规格明细'!K90)*10000/(SUM('规格明细'!D89,'规格明细'!D90)*'机会输入'!F21))</x:f>
        <x:v>368.6400000000001</x:v>
      </x:c>
      <x:c r="D32" s="177" t="n">
        <x:f>IF(SUM('规格明细'!D101,'规格明细'!D102)=0,0,SUM('规格明细'!K101,'规格明细'!K102)*10000/(SUM('规格明细'!D101,'规格明细'!D102)*'机会输入'!G21))</x:f>
        <x:v>530.8416</x:v>
      </x:c>
      <x:c r="E32" s="177" t="n">
        <x:f>IF(SUM('规格明细'!D113,'规格明细'!D114)=0,0,SUM('规格明细'!K113,'规格明细'!K114)*10000/(SUM('规格明细'!D113,'规格明细'!D114)*'机会输入'!H21))</x:f>
        <x:v>589.73184</x:v>
      </x:c>
      <x:c r="F32" s="177" t="n">
        <x:f>IF(SUM('规格明细'!D125,'规格明细'!D126)=0,0,SUM('规格明细'!K125,'规格明细'!K126)*10000/(SUM('规格明细'!D125,'规格明细'!D126)*'机会输入'!I21))</x:f>
        <x:v>591.224832</x:v>
      </x:c>
      <x:c r="G32" s="184"/>
      <x:c r="H32" s="184"/>
      <x:c r="I32" s="184"/>
      <x:c r="J32" s="184"/>
      <x:c r="K32" s="184"/>
      <x:c r="L32" s="184"/>
      <x:c r="M32" s="184"/>
      <x:c r="N32" s="184"/>
      <x:c r="O32" s="184"/>
      <x:c r="P32" s="184"/>
      <x:c r="Q32" s="184"/>
      <x:c r="R32" s="184"/>
      <x:c r="S32" s="184"/>
      <x:c r="T32" s="184"/>
      <x:c r="U32" s="184"/>
      <x:c r="V32" s="184"/>
    </x:row>
    <x:row r="33">
      <x:c r="A33" s="177" t="str">
        <x:v>ELS单激光器ASP（元）</x:v>
      </x:c>
      <x:c r="B33" s="177" t="n">
        <x:f>IF(SUM('规格明细'!G79,'规格明细'!G80)=0,0,SUM('规格明细'!K79,'规格明细'!K80)*100000000/SUM('规格明细'!G79,'规格明细'!G80))</x:f>
        <x:v>64</x:v>
      </x:c>
      <x:c r="C33" s="177" t="n">
        <x:f>IF(SUM('规格明细'!G91,'规格明细'!G92)=0,0,SUM('规格明细'!K91,'规格明细'!K92)*100000000/SUM('规格明细'!G91,'规格明细'!G92))</x:f>
        <x:v>51.2</x:v>
      </x:c>
      <x:c r="D33" s="177" t="n">
        <x:f>IF(SUM('规格明细'!G103,'规格明细'!G104)=0,0,SUM('规格明细'!K103,'规格明细'!K104)*100000000/SUM('规格明细'!G103,'规格明细'!G104))</x:f>
        <x:v>50.688</x:v>
      </x:c>
      <x:c r="E33" s="177" t="n">
        <x:f>IF(SUM('规格明细'!G115,'规格明细'!G116)=0,0,SUM('规格明细'!K115,'规格明细'!K116)*100000000/SUM('规格明细'!G115,'规格明细'!G116))</x:f>
        <x:v>48.2112</x:v>
      </x:c>
      <x:c r="F33" s="177" t="n">
        <x:f>IF(SUM('规格明细'!G127,'规格明细'!G128)=0,0,SUM('规格明细'!K127,'规格明细'!K128)*100000000/SUM('规格明细'!G127,'规格明细'!G128))</x:f>
        <x:v>44.78976</x:v>
      </x:c>
      <x:c r="G33" s="184"/>
      <x:c r="H33" s="184"/>
      <x:c r="I33" s="184"/>
      <x:c r="J33" s="184"/>
      <x:c r="K33" s="184"/>
      <x:c r="L33" s="184"/>
      <x:c r="M33" s="184"/>
      <x:c r="N33" s="184"/>
      <x:c r="O33" s="184"/>
      <x:c r="P33" s="184"/>
      <x:c r="Q33" s="184"/>
      <x:c r="R33" s="184"/>
      <x:c r="S33" s="184"/>
      <x:c r="T33" s="184"/>
      <x:c r="U33" s="184"/>
      <x:c r="V33" s="184"/>
    </x:row>
    <x:row r="34">
      <x:c r="A34" s="184"/>
      <x:c r="B34" s="184"/>
      <x:c r="C34" s="184"/>
      <x:c r="D34" s="184"/>
      <x:c r="E34" s="184"/>
      <x:c r="F34" s="184"/>
      <x:c r="G34" s="184"/>
      <x:c r="H34" s="184"/>
      <x:c r="I34" s="184"/>
      <x:c r="J34" s="184"/>
      <x:c r="K34" s="184"/>
      <x:c r="L34" s="184"/>
      <x:c r="M34" s="184"/>
      <x:c r="N34" s="184"/>
      <x:c r="O34" s="184"/>
      <x:c r="P34" s="184"/>
      <x:c r="Q34" s="184"/>
      <x:c r="R34" s="184"/>
      <x:c r="S34" s="184"/>
      <x:c r="T34" s="184"/>
      <x:c r="U34" s="184"/>
      <x:c r="V34" s="184"/>
    </x:row>
    <x:row r="35" ht="36" customHeight="1">
      <x:c r="A35" s="198" t="str">
        <x:v>PIC端MPLA、FAU集成代工属于后续产品延伸，未单独计入当前七条产品线合计；技术许可费、独立NPO需求亦未单列。</x:v>
      </x:c>
      <x:c r="B35" s="198"/>
      <x:c r="C35" s="198"/>
      <x:c r="D35" s="198"/>
      <x:c r="E35" s="198"/>
      <x:c r="F35" s="198"/>
      <x:c r="G35" s="198"/>
      <x:c r="H35" s="198"/>
      <x:c r="I35" s="198"/>
      <x:c r="J35" s="198"/>
      <x:c r="K35" s="198"/>
      <x:c r="L35" s="198"/>
      <x:c r="M35" s="198"/>
      <x:c r="N35" s="198"/>
      <x:c r="O35" s="198"/>
      <x:c r="P35" s="198"/>
      <x:c r="Q35" s="198"/>
      <x:c r="R35" s="198"/>
      <x:c r="S35" s="198"/>
      <x:c r="T35" s="198"/>
      <x:c r="U35" s="198"/>
      <x:c r="V35" s="184"/>
    </x:row>
    <x:row r="36">
      <x:c r="A36" s="184"/>
      <x:c r="B36" s="184"/>
      <x:c r="C36" s="184"/>
      <x:c r="D36" s="184"/>
      <x:c r="E36" s="184"/>
      <x:c r="F36" s="184"/>
      <x:c r="G36" s="184"/>
      <x:c r="H36" s="184"/>
      <x:c r="I36" s="184"/>
      <x:c r="J36" s="184"/>
      <x:c r="K36" s="184"/>
      <x:c r="L36" s="184"/>
      <x:c r="M36" s="184"/>
      <x:c r="N36" s="184"/>
      <x:c r="O36" s="184"/>
      <x:c r="P36" s="184"/>
      <x:c r="Q36" s="184"/>
      <x:c r="R36" s="184"/>
      <x:c r="S36" s="184"/>
      <x:c r="T36" s="184"/>
      <x:c r="U36" s="184"/>
      <x:c r="V36" s="184"/>
    </x:row>
    <x:row r="37">
      <x:c r="A37" s="184"/>
      <x:c r="B37" s="184"/>
      <x:c r="C37" s="184"/>
      <x:c r="D37" s="184"/>
      <x:c r="E37" s="184"/>
      <x:c r="F37" s="184"/>
      <x:c r="G37" s="184"/>
      <x:c r="H37" s="184"/>
      <x:c r="I37" s="184"/>
      <x:c r="J37" s="184"/>
      <x:c r="K37" s="184"/>
      <x:c r="L37" s="184"/>
      <x:c r="M37" s="184"/>
      <x:c r="N37" s="184"/>
      <x:c r="O37" s="184"/>
      <x:c r="P37" s="184"/>
      <x:c r="Q37" s="184"/>
      <x:c r="R37" s="184"/>
      <x:c r="S37" s="184"/>
      <x:c r="T37" s="184"/>
      <x:c r="U37" s="184"/>
      <x:c r="V37" s="184"/>
    </x:row>
    <x:row r="38">
      <x:c r="A38" s="184"/>
      <x:c r="B38" s="184"/>
      <x:c r="C38" s="184"/>
      <x:c r="D38" s="184"/>
      <x:c r="E38" s="184"/>
      <x:c r="F38" s="184"/>
      <x:c r="G38" s="184"/>
      <x:c r="H38" s="184"/>
      <x:c r="I38" s="184"/>
      <x:c r="J38" s="184"/>
      <x:c r="K38" s="184"/>
      <x:c r="L38" s="184"/>
      <x:c r="M38" s="184"/>
      <x:c r="N38" s="184"/>
      <x:c r="O38" s="184"/>
      <x:c r="P38" s="184"/>
      <x:c r="Q38" s="184"/>
      <x:c r="R38" s="184"/>
      <x:c r="S38" s="184"/>
      <x:c r="T38" s="184"/>
      <x:c r="U38" s="184"/>
      <x:c r="V38" s="184"/>
    </x:row>
    <x:row r="39">
      <x:c r="A39" s="184"/>
      <x:c r="B39" s="184"/>
      <x:c r="C39" s="184"/>
      <x:c r="D39" s="184"/>
      <x:c r="E39" s="184"/>
      <x:c r="F39" s="184"/>
      <x:c r="G39" s="184"/>
      <x:c r="H39" s="184"/>
      <x:c r="I39" s="184"/>
      <x:c r="J39" s="184"/>
      <x:c r="K39" s="184"/>
      <x:c r="L39" s="184"/>
      <x:c r="M39" s="184"/>
      <x:c r="N39" s="184"/>
      <x:c r="O39" s="184"/>
      <x:c r="P39" s="184"/>
      <x:c r="Q39" s="184"/>
      <x:c r="R39" s="184"/>
      <x:c r="S39" s="184"/>
      <x:c r="T39" s="184"/>
      <x:c r="U39" s="184"/>
      <x:c r="V39" s="184"/>
    </x:row>
    <x:row r="40">
      <x:c r="A40" s="184"/>
      <x:c r="B40" s="184"/>
      <x:c r="C40" s="184"/>
      <x:c r="D40" s="184"/>
      <x:c r="E40" s="184"/>
      <x:c r="F40" s="184"/>
      <x:c r="G40" s="184"/>
      <x:c r="H40" s="184"/>
      <x:c r="I40" s="184"/>
      <x:c r="J40" s="184"/>
      <x:c r="K40" s="184"/>
      <x:c r="L40" s="184"/>
      <x:c r="M40" s="184"/>
      <x:c r="N40" s="184"/>
      <x:c r="O40" s="184"/>
      <x:c r="P40" s="184"/>
      <x:c r="Q40" s="184"/>
      <x:c r="R40" s="184"/>
      <x:c r="S40" s="184"/>
      <x:c r="T40" s="184"/>
      <x:c r="U40" s="184"/>
      <x:c r="V40" s="184"/>
    </x:row>
    <x:row r="41">
      <x:c r="A41" s="176" t="str">
        <x:v>审慎情形：有效单价与有效公司份额</x:v>
      </x:c>
      <x:c r="B41" s="176"/>
      <x:c r="C41" s="176"/>
      <x:c r="D41" s="176"/>
      <x:c r="E41" s="176"/>
      <x:c r="F41" s="176"/>
      <x:c r="G41" s="176"/>
      <x:c r="H41" s="176"/>
      <x:c r="I41" s="176"/>
      <x:c r="J41" s="176"/>
      <x:c r="K41" s="176"/>
      <x:c r="L41" s="176"/>
      <x:c r="M41" s="184"/>
      <x:c r="N41" s="184"/>
      <x:c r="O41" s="184"/>
      <x:c r="P41" s="184"/>
      <x:c r="Q41" s="184"/>
      <x:c r="R41" s="184"/>
      <x:c r="S41" s="184"/>
      <x:c r="T41" s="184"/>
      <x:c r="U41" s="184"/>
      <x:c r="V41" s="184"/>
    </x:row>
    <x:row r="42">
      <x:c r="A42" s="176" t="str">
        <x:v>产品线</x:v>
      </x:c>
      <x:c r="B42" s="176" t="str">
        <x:v>单价单位</x:v>
      </x:c>
      <x:c r="C42" s="176" t="str">
        <x:v>2026单价</x:v>
      </x:c>
      <x:c r="D42" s="176" t="str">
        <x:v>2027单价</x:v>
      </x:c>
      <x:c r="E42" s="176" t="str">
        <x:v>2028单价</x:v>
      </x:c>
      <x:c r="F42" s="176" t="str">
        <x:v>2029单价</x:v>
      </x:c>
      <x:c r="G42" s="176" t="str">
        <x:v>2030单价</x:v>
      </x:c>
      <x:c r="H42" s="176" t="str">
        <x:v>2026份额</x:v>
      </x:c>
      <x:c r="I42" s="176" t="str">
        <x:v>2027份额</x:v>
      </x:c>
      <x:c r="J42" s="176" t="str">
        <x:v>2028份额</x:v>
      </x:c>
      <x:c r="K42" s="176" t="str">
        <x:v>2029份额</x:v>
      </x:c>
      <x:c r="L42" s="176" t="str">
        <x:v>2030份额</x:v>
      </x:c>
      <x:c r="M42" s="184"/>
      <x:c r="N42" s="184"/>
      <x:c r="O42" s="184"/>
      <x:c r="P42" s="184"/>
      <x:c r="Q42" s="184"/>
      <x:c r="R42" s="184"/>
      <x:c r="S42" s="184"/>
      <x:c r="T42" s="184"/>
      <x:c r="U42" s="184"/>
      <x:c r="V42" s="184"/>
    </x:row>
    <x:row r="43">
      <x:c r="A43" s="177" t="str">
        <x:v>800G可插拔透镜</x:v>
      </x:c>
      <x:c r="B43" s="177" t="str">
        <x:v>元/只透镜</x:v>
      </x:c>
      <x:c r="C43" s="178" t="n">
        <x:f>IF(SUM('规格明细'!G6)=0,0,SUM('规格明细'!K6)*100000000/SUM('规格明细'!G6))</x:f>
        <x:v>3.4</x:v>
      </x:c>
      <x:c r="D43" s="178" t="n">
        <x:f>IF(SUM('规格明细'!G18)=0,0,SUM('规格明细'!K18)*100000000/SUM('规格明细'!G18))</x:f>
        <x:v>3.06</x:v>
      </x:c>
      <x:c r="E43" s="178" t="n">
        <x:f>IF(SUM('规格明细'!G30)=0,0,SUM('规格明细'!K30)*100000000/SUM('规格明细'!G30))</x:f>
        <x:v>2.754</x:v>
      </x:c>
      <x:c r="F43" s="178" t="n">
        <x:f>IF(SUM('规格明细'!G42)=0,0,SUM('规格明细'!K42)*100000000/SUM('规格明细'!G42))</x:f>
        <x:v>2.4785999999999997</x:v>
      </x:c>
      <x:c r="G43" s="178" t="n">
        <x:f>IF(SUM('规格明细'!G54)=0,0,SUM('规格明细'!K54)*100000000/SUM('规格明细'!G54))</x:f>
        <x:v>2.23074</x:v>
      </x:c>
      <x:c r="H43" s="190" t="n">
        <x:f>IF(SUM('规格明细'!K6)=0,0,SUM('规格明细'!L6)/SUM('规格明细'!K6))</x:f>
        <x:v>0.035</x:v>
      </x:c>
      <x:c r="I43" s="190" t="n">
        <x:f>IF(SUM('规格明细'!K18)=0,0,SUM('规格明细'!L18)/SUM('规格明细'!K18))</x:f>
        <x:v>0.07999999999999999</x:v>
      </x:c>
      <x:c r="J43" s="190" t="n">
        <x:f>IF(SUM('规格明细'!K30)=0,0,SUM('规格明细'!L30)/SUM('规格明细'!K30))</x:f>
        <x:v>0.085</x:v>
      </x:c>
      <x:c r="K43" s="190" t="n">
        <x:f>IF(SUM('规格明细'!K42)=0,0,SUM('规格明细'!L42)/SUM('规格明细'!K42))</x:f>
        <x:v>0.09000000000000001</x:v>
      </x:c>
      <x:c r="L43" s="190" t="n">
        <x:f>IF(SUM('规格明细'!K54)=0,0,SUM('规格明细'!L54)/SUM('规格明细'!K54))</x:f>
        <x:v>0.09000000000000001</x:v>
      </x:c>
      <x:c r="M43" s="184"/>
      <x:c r="N43" s="184"/>
      <x:c r="O43" s="184"/>
      <x:c r="P43" s="184"/>
      <x:c r="Q43" s="184"/>
      <x:c r="R43" s="184"/>
      <x:c r="S43" s="184"/>
      <x:c r="T43" s="184"/>
      <x:c r="U43" s="184"/>
      <x:c r="V43" s="184"/>
    </x:row>
    <x:row r="44">
      <x:c r="A44" s="177" t="str">
        <x:v>1.6T可插拔透镜</x:v>
      </x:c>
      <x:c r="B44" s="177" t="str">
        <x:v>元/只透镜</x:v>
      </x:c>
      <x:c r="C44" s="178" t="n">
        <x:f>IF(SUM('规格明细'!G7)=0,0,SUM('规格明细'!K7)*100000000/SUM('规格明细'!G7))</x:f>
        <x:v>4.76</x:v>
      </x:c>
      <x:c r="D44" s="178" t="n">
        <x:f>IF(SUM('规格明细'!G19)=0,0,SUM('规格明细'!K19)*100000000/SUM('规格明细'!G19))</x:f>
        <x:v>4.284</x:v>
      </x:c>
      <x:c r="E44" s="178" t="n">
        <x:f>IF(SUM('规格明细'!G31)=0,0,SUM('规格明细'!K31)*100000000/SUM('规格明细'!G31))</x:f>
        <x:v>3.8556</x:v>
      </x:c>
      <x:c r="F44" s="178" t="n">
        <x:f>IF(SUM('规格明细'!G43)=0,0,SUM('规格明细'!K43)*100000000/SUM('规格明细'!G43))</x:f>
        <x:v>3.470039999999999</x:v>
      </x:c>
      <x:c r="G44" s="178" t="n">
        <x:f>IF(SUM('规格明细'!G55)=0,0,SUM('规格明细'!K55)*100000000/SUM('规格明细'!G55))</x:f>
        <x:v>3.123036</x:v>
      </x:c>
      <x:c r="H44" s="190" t="n">
        <x:f>IF(SUM('规格明细'!K7)=0,0,SUM('规格明细'!L7)/SUM('规格明细'!K7))</x:f>
        <x:v>0.035</x:v>
      </x:c>
      <x:c r="I44" s="190" t="n">
        <x:f>IF(SUM('规格明细'!K19)=0,0,SUM('规格明细'!L19)/SUM('规格明细'!K19))</x:f>
        <x:v>0.07999999999999999</x:v>
      </x:c>
      <x:c r="J44" s="190" t="n">
        <x:f>IF(SUM('规格明细'!K31)=0,0,SUM('规格明细'!L31)/SUM('规格明细'!K31))</x:f>
        <x:v>0.085</x:v>
      </x:c>
      <x:c r="K44" s="190" t="n">
        <x:f>IF(SUM('规格明细'!K43)=0,0,SUM('规格明细'!L43)/SUM('规格明细'!K43))</x:f>
        <x:v>0.09000000000000001</x:v>
      </x:c>
      <x:c r="L44" s="190" t="n">
        <x:f>IF(SUM('规格明细'!K55)=0,0,SUM('规格明细'!L55)/SUM('规格明细'!K55))</x:f>
        <x:v>0.09</x:v>
      </x:c>
      <x:c r="M44" s="184"/>
      <x:c r="N44" s="184"/>
      <x:c r="O44" s="184"/>
      <x:c r="P44" s="184"/>
      <x:c r="Q44" s="184"/>
      <x:c r="R44" s="184"/>
      <x:c r="S44" s="184"/>
      <x:c r="T44" s="184"/>
      <x:c r="U44" s="184"/>
      <x:c r="V44" s="184"/>
    </x:row>
    <x:row r="45">
      <x:c r="A45" s="177" t="str">
        <x:v>OCS NxN透镜阵列</x:v>
      </x:c>
      <x:c r="B45" s="177" t="str">
        <x:v>元/总光通道</x:v>
      </x:c>
      <x:c r="C45" s="178" t="n">
        <x:f>IF(SUM('规格明细'!G8,'规格明细'!G9)=0,0,SUM('规格明细'!K8,'规格明细'!K9)*100000000/SUM('规格明细'!G8,'规格明细'!G9))</x:f>
        <x:v>21.818181818181817</x:v>
      </x:c>
      <x:c r="D45" s="178" t="n">
        <x:f>IF(SUM('规格明细'!G20,'规格明细'!G21)=0,0,SUM('规格明细'!K20,'规格明细'!K21)*100000000/SUM('规格明细'!G20,'规格明细'!G21))</x:f>
        <x:v>19.5</x:v>
      </x:c>
      <x:c r="E45" s="178" t="n">
        <x:f>IF(SUM('规格明细'!G32,'规格明细'!G33)=0,0,SUM('规格明细'!K32,'规格明细'!K33)*100000000/SUM('规格明细'!G32,'规格明细'!G33))</x:f>
        <x:v>18.93698630136986</x:v>
      </x:c>
      <x:c r="F45" s="178" t="n">
        <x:f>IF(SUM('规格明细'!G44,'规格明细'!G45)=0,0,SUM('规格明细'!K44,'规格明细'!K45)*100000000/SUM('规格明细'!G44,'规格明细'!G45))</x:f>
        <x:v>17.71746835443038</x:v>
      </x:c>
      <x:c r="G45" s="178" t="n">
        <x:f>IF(SUM('规格明细'!G56,'规格明细'!G57)=0,0,SUM('规格明细'!K56,'规格明细'!K57)*100000000/SUM('规格明细'!G56,'规格明细'!G57))</x:f>
        <x:v>16.466823529411766</x:v>
      </x:c>
      <x:c r="H45" s="190" t="n">
        <x:f>IF(SUM('规格明细'!K8,'规格明细'!K9)=0,0,SUM('规格明细'!L8,'规格明细'!L9)/SUM('规格明细'!K8,'规格明细'!K9))</x:f>
        <x:v>0.81484375</x:v>
      </x:c>
      <x:c r="I45" s="190" t="n">
        <x:f>IF(SUM('规格明细'!K20,'规格明细'!K21)=0,0,SUM('规格明细'!L20,'规格明细'!L21)/SUM('规格明细'!K20,'规格明细'!K21))</x:f>
        <x:v>0.8341880341880341</x:v>
      </x:c>
      <x:c r="J45" s="190" t="n">
        <x:f>IF(SUM('规格明细'!K32,'规格明细'!K33)=0,0,SUM('规格明细'!L32,'规格明细'!L33)/SUM('规格明细'!K32,'规格明细'!K33))</x:f>
        <x:v>0.7165234375</x:v>
      </x:c>
      <x:c r="K45" s="190" t="n">
        <x:f>IF(SUM('规格明细'!K44,'规格明细'!K45)=0,0,SUM('规格明细'!L44,'规格明细'!L45)/SUM('规格明细'!K44,'规格明细'!K45))</x:f>
        <x:v>0.670625</x:v>
      </x:c>
      <x:c r="L45" s="190" t="n">
        <x:f>IF(SUM('规格明细'!K56,'规格明细'!K57)=0,0,SUM('规格明细'!L56,'规格明细'!L57)/SUM('规格明细'!K56,'规格明细'!K57))</x:f>
        <x:v>0.5821875000000001</x:v>
      </x:c>
      <x:c r="M45" s="184"/>
      <x:c r="N45" s="184"/>
      <x:c r="O45" s="184"/>
      <x:c r="P45" s="184"/>
      <x:c r="Q45" s="184"/>
      <x:c r="R45" s="184"/>
      <x:c r="S45" s="184"/>
      <x:c r="T45" s="184"/>
      <x:c r="U45" s="184"/>
      <x:c r="V45" s="184"/>
    </x:row>
    <x:row r="46">
      <x:c r="A46" s="177" t="str">
        <x:v>FAU V型槽</x:v>
      </x:c>
      <x:c r="B46" s="177" t="str">
        <x:v>元/通道</x:v>
      </x:c>
      <x:c r="C46" s="178" t="n">
        <x:f>IF(SUM('规格明细'!G10,'规格明细'!G11)=0,0,SUM('规格明细'!K10,'规格明细'!K11)*100000000/SUM('规格明细'!G10,'规格明细'!G11))</x:f>
        <x:v>7.616</x:v>
      </x:c>
      <x:c r="D46" s="178" t="n">
        <x:f>IF(SUM('规格明细'!G22,'规格明细'!G23)=0,0,SUM('规格明细'!K22,'规格明细'!K23)*100000000/SUM('规格明细'!G22,'规格明细'!G23))</x:f>
        <x:v>6.0928</x:v>
      </x:c>
      <x:c r="E46" s="178" t="n">
        <x:f>IF(SUM('规格明细'!G34,'规格明细'!G35)=0,0,SUM('规格明细'!K34,'规格明细'!K35)*100000000/SUM('规格明细'!G34,'规格明细'!G35))</x:f>
        <x:v>6.266879999999999</x:v>
      </x:c>
      <x:c r="F46" s="178" t="n">
        <x:f>IF(SUM('规格明细'!G46,'规格明细'!G47)=0,0,SUM('规格明细'!K46,'规格明细'!K47)*100000000/SUM('规格明细'!G46,'规格明细'!G47))</x:f>
        <x:v>5.907246545454545</x:v>
      </x:c>
      <x:c r="G46" s="178" t="n">
        <x:f>IF(SUM('规格明细'!G58,'规格明细'!G59)=0,0,SUM('规格明细'!K58,'规格明细'!K59)*100000000/SUM('规格明细'!G58,'规格明细'!G59))</x:f>
        <x:v>5.4286848</x:v>
      </x:c>
      <x:c r="H46" s="190" t="n">
        <x:f>IF(SUM('规格明细'!K10,'规格明细'!K11)=0,0,SUM('规格明细'!L10,'规格明细'!L11)/SUM('规格明细'!K10,'规格明细'!K11))</x:f>
        <x:v>0.39375</x:v>
      </x:c>
      <x:c r="I46" s="190" t="n">
        <x:f>IF(SUM('规格明细'!K22,'规格明细'!K23)=0,0,SUM('规格明细'!L22,'规格明细'!L23)/SUM('规格明细'!K22,'规格明细'!K23))</x:f>
        <x:v>0.4444444444444444</x:v>
      </x:c>
      <x:c r="J46" s="190" t="n">
        <x:f>IF(SUM('规格明细'!K34,'规格明细'!K35)=0,0,SUM('规格明细'!L34,'规格明细'!L35)/SUM('规格明细'!K34,'规格明细'!K35))</x:f>
        <x:v>0.4940625</x:v>
      </x:c>
      <x:c r="K46" s="190" t="n">
        <x:f>IF(SUM('规格明细'!K46,'规格明细'!K47)=0,0,SUM('规格明细'!L46,'规格明细'!L47)/SUM('规格明细'!K46,'规格明细'!K47))</x:f>
        <x:v>0.5770253164556963</x:v>
      </x:c>
      <x:c r="L46" s="190" t="n">
        <x:f>IF(SUM('规格明细'!K58,'规格明细'!K59)=0,0,SUM('规格明细'!L58,'规格明细'!L59)/SUM('规格明细'!K58,'规格明细'!K59))</x:f>
        <x:v>0.6259090909090911</x:v>
      </x:c>
      <x:c r="M46" s="184"/>
      <x:c r="N46" s="184"/>
      <x:c r="O46" s="184"/>
      <x:c r="P46" s="184"/>
      <x:c r="Q46" s="184"/>
      <x:c r="R46" s="184"/>
      <x:c r="S46" s="184"/>
      <x:c r="T46" s="184"/>
      <x:c r="U46" s="184"/>
      <x:c r="V46" s="184"/>
    </x:row>
    <x:row r="47">
      <x:c r="A47" s="177" t="str">
        <x:v>FAU棱镜阵列</x:v>
      </x:c>
      <x:c r="B47" s="177" t="str">
        <x:v>元/通道</x:v>
      </x:c>
      <x:c r="C47" s="178" t="n">
        <x:f>IF(SUM('规格明细'!G12,'规格明细'!G13)=0,0,SUM('规格明细'!K12,'规格明细'!K13)*100000000/SUM('规格明细'!G12,'规格明细'!G13))</x:f>
        <x:v>10.88</x:v>
      </x:c>
      <x:c r="D47" s="178" t="n">
        <x:f>IF(SUM('规格明细'!G24,'规格明细'!G25)=0,0,SUM('规格明细'!K24,'规格明细'!K25)*100000000/SUM('规格明细'!G24,'规格明细'!G25))</x:f>
        <x:v>8.704</x:v>
      </x:c>
      <x:c r="E47" s="178" t="n">
        <x:f>IF(SUM('规格明细'!G36,'规格明细'!G37)=0,0,SUM('规格明细'!K36,'规格明细'!K37)*100000000/SUM('规格明细'!G36,'规格明细'!G37))</x:f>
        <x:v>8.952685714285714</x:v>
      </x:c>
      <x:c r="F47" s="178" t="n">
        <x:f>IF(SUM('规格明细'!G48,'规格明细'!G49)=0,0,SUM('规格明细'!K48,'规格明细'!K49)*100000000/SUM('规格明细'!G48,'规格明细'!G49))</x:f>
        <x:v>8.438923636363636</x:v>
      </x:c>
      <x:c r="G47" s="178" t="n">
        <x:f>IF(SUM('规格明细'!G60,'规格明细'!G61)=0,0,SUM('规格明细'!K60,'规格明细'!K61)*100000000/SUM('规格明细'!G60,'规格明细'!G61))</x:f>
        <x:v>7.755264000000001</x:v>
      </x:c>
      <x:c r="H47" s="190" t="n">
        <x:f>'机会输入'!E24</x:f>
        <x:v>0.45</x:v>
      </x:c>
      <x:c r="I47" s="190" t="n">
        <x:f>'机会输入'!F24</x:f>
        <x:v>0.45</x:v>
      </x:c>
      <x:c r="J47" s="190" t="n">
        <x:f>'机会输入'!G24</x:f>
        <x:v>0.45</x:v>
      </x:c>
      <x:c r="K47" s="190" t="n">
        <x:f>'机会输入'!H24</x:f>
        <x:v>0.45</x:v>
      </x:c>
      <x:c r="L47" s="190" t="n">
        <x:f>'机会输入'!I24</x:f>
        <x:v>0.45</x:v>
      </x:c>
      <x:c r="M47" s="184"/>
      <x:c r="N47" s="184"/>
      <x:c r="O47" s="184"/>
      <x:c r="P47" s="184"/>
      <x:c r="Q47" s="184"/>
      <x:c r="R47" s="184"/>
      <x:c r="S47" s="184"/>
      <x:c r="T47" s="184"/>
      <x:c r="U47" s="184"/>
      <x:c r="V47" s="184"/>
    </x:row>
    <x:row r="48">
      <x:c r="A48" s="177" t="str">
        <x:v>ELS透镜＋热沉</x:v>
      </x:c>
      <x:c r="B48" s="177" t="str">
        <x:v>元/激光器</x:v>
      </x:c>
      <x:c r="C48" s="178" t="n">
        <x:f>IF(SUM('规格明细'!G14,'规格明细'!G15)=0,0,SUM('规格明细'!K14,'规格明细'!K15)*100000000/SUM('规格明细'!G14,'规格明细'!G15))</x:f>
        <x:v>54.4</x:v>
      </x:c>
      <x:c r="D48" s="178" t="n">
        <x:f>IF(SUM('规格明细'!G26,'规格明细'!G27)=0,0,SUM('规格明细'!K26,'规格明细'!K27)*100000000/SUM('规格明细'!G26,'规格明细'!G27))</x:f>
        <x:v>43.52000000000001</x:v>
      </x:c>
      <x:c r="E48" s="178" t="n">
        <x:f>IF(SUM('规格明细'!G38,'规格明细'!G39)=0,0,SUM('规格明细'!K38,'规格明细'!K39)*100000000/SUM('规格明细'!G38,'规格明细'!G39))</x:f>
        <x:v>43.0848</x:v>
      </x:c>
      <x:c r="F48" s="178" t="n">
        <x:f>IF(SUM('规格明细'!G50,'规格明细'!G51)=0,0,SUM('规格明细'!K50,'规格明细'!K51)*100000000/SUM('规格明细'!G50,'规格明细'!G51))</x:f>
        <x:v>40.97952</x:v>
      </x:c>
      <x:c r="G48" s="178" t="n">
        <x:f>IF(SUM('规格明细'!G62,'规格明细'!G63)=0,0,SUM('规格明细'!K62,'规格明细'!K63)*100000000/SUM('规格明细'!G62,'规格明细'!G63))</x:f>
        <x:v>38.071296000000004</x:v>
      </x:c>
      <x:c r="H48" s="190" t="n">
        <x:f>IF(SUM('规格明细'!K14,'规格明细'!K15)=0,0,SUM('规格明细'!L14,'规格明细'!L15)/SUM('规格明细'!K14,'规格明细'!K15))</x:f>
        <x:v>0.39375</x:v>
      </x:c>
      <x:c r="I48" s="190" t="n">
        <x:f>IF(SUM('规格明细'!K26,'规格明细'!K27)=0,0,SUM('规格明细'!L26,'规格明细'!L27)/SUM('规格明细'!K26,'规格明细'!K27))</x:f>
        <x:v>0.39999999999999997</x:v>
      </x:c>
      <x:c r="J48" s="190" t="n">
        <x:f>IF(SUM('规格明细'!K38,'规格明细'!K39)=0,0,SUM('规格明细'!L38,'规格明细'!L39)/SUM('规格明细'!K38,'规格明细'!K39))</x:f>
        <x:v>0.3876515151515151</x:v>
      </x:c>
      <x:c r="K48" s="190" t="n">
        <x:f>IF(SUM('规格明细'!K50,'规格明细'!K51)=0,0,SUM('规格明细'!L50,'规格明细'!L51)/SUM('规格明细'!K50,'规格明细'!K51))</x:f>
        <x:v>0.40645161290322585</x:v>
      </x:c>
      <x:c r="L48" s="190" t="n">
        <x:f>IF(SUM('规格明细'!K62,'规格明细'!K63)=0,0,SUM('规格明细'!L62,'规格明细'!L63)/SUM('规格明细'!K62,'规格明细'!K63))</x:f>
        <x:v>0.39749999999999996</x:v>
      </x:c>
      <x:c r="M48" s="184"/>
      <x:c r="N48" s="184"/>
      <x:c r="O48" s="184"/>
      <x:c r="P48" s="184"/>
      <x:c r="Q48" s="184"/>
      <x:c r="R48" s="184"/>
      <x:c r="S48" s="184"/>
      <x:c r="T48" s="184"/>
      <x:c r="U48" s="184"/>
      <x:c r="V48" s="184"/>
    </x:row>
    <x:row r="49">
      <x:c r="A49" s="177" t="str">
        <x:v>FAU量测设备</x:v>
      </x:c>
      <x:c r="B49" s="177" t="str">
        <x:v>元/台</x:v>
      </x:c>
      <x:c r="C49" s="178" t="n">
        <x:f>IF(SUM('规格明细'!G16,'规格明细'!G17)=0,0,SUM('规格明细'!K16,'规格明细'!K17)*100000000/SUM('规格明细'!G16,'规格明细'!G17))</x:f>
        <x:v>54400</x:v>
      </x:c>
      <x:c r="D49" s="178" t="n">
        <x:f>IF(SUM('规格明细'!G28,'规格明细'!G29)=0,0,SUM('规格明细'!K28,'规格明细'!K29)*100000000/SUM('规格明细'!G28,'规格明细'!G29))</x:f>
        <x:v>54400</x:v>
      </x:c>
      <x:c r="E49" s="178" t="n">
        <x:f>IF(SUM('规格明细'!G40,'规格明细'!G41)=0,0,SUM('规格明细'!K40,'规格明细'!K41)*100000000/SUM('规格明细'!G40,'规格明细'!G41))</x:f>
        <x:v>59840.00000000001</x:v>
      </x:c>
      <x:c r="F49" s="178" t="n">
        <x:f>IF(SUM('规格明细'!G52,'规格明细'!G53)=0,0,SUM('规格明细'!K52,'规格明细'!K53)*100000000/SUM('规格明细'!G52,'规格明细'!G53))</x:f>
        <x:v>63239.99999999999</x:v>
      </x:c>
      <x:c r="G49" s="178" t="n">
        <x:f>IF(SUM('规格明细'!G64,'规格明细'!G65)=0,0,SUM('规格明细'!K64,'规格明细'!K65)*100000000/SUM('规格明细'!G64,'规格明细'!G65))</x:f>
        <x:v>65280</x:v>
      </x:c>
      <x:c r="H49" s="190" t="n">
        <x:f>IF(SUM('规格明细'!K16,'规格明细'!K17)=0,0,SUM('规格明细'!L16,'规格明细'!L17)/SUM('规格明细'!K16,'规格明细'!K17))</x:f>
        <x:v>0.08750000000000001</x:v>
      </x:c>
      <x:c r="I49" s="190" t="n">
        <x:f>IF(SUM('规格明细'!K28,'规格明细'!K29)=0,0,SUM('规格明细'!L28,'规格明细'!L29)/SUM('规格明细'!K28,'规格明细'!K29))</x:f>
        <x:v>0.26666666666666666</x:v>
      </x:c>
      <x:c r="J49" s="190" t="n">
        <x:f>IF(SUM('规格明细'!K40,'规格明细'!K41)=0,0,SUM('规格明细'!L40,'规格明细'!L41)/SUM('规格明细'!K40,'规格明细'!K41))</x:f>
        <x:v>0.40181818181818185</x:v>
      </x:c>
      <x:c r="K49" s="190" t="n">
        <x:f>IF(SUM('规格明细'!K52,'规格明细'!K53)=0,0,SUM('规格明细'!L52,'规格明细'!L53)/SUM('规格明细'!K52,'规格明细'!K53))</x:f>
        <x:v>0.4814516129032258</x:v>
      </x:c>
      <x:c r="L49" s="190" t="n">
        <x:f>IF(SUM('规格明细'!K64,'规格明细'!K65)=0,0,SUM('规格明细'!L64,'规格明细'!L65)/SUM('规格明细'!K64,'规格明细'!K65))</x:f>
        <x:v>0.5325000000000001</x:v>
      </x:c>
      <x:c r="M49" s="184"/>
      <x:c r="N49" s="184"/>
      <x:c r="O49" s="184"/>
      <x:c r="P49" s="184"/>
      <x:c r="Q49" s="184"/>
      <x:c r="R49" s="184"/>
      <x:c r="S49" s="184"/>
      <x:c r="T49" s="184"/>
      <x:c r="U49" s="184"/>
      <x:c r="V49" s="184"/>
    </x:row>
    <x:row r="50">
      <x:c r="A50" s="184"/>
      <x:c r="B50" s="184"/>
      <x:c r="C50" s="184"/>
      <x:c r="D50" s="184"/>
      <x:c r="E50" s="184"/>
      <x:c r="F50" s="184"/>
      <x:c r="G50" s="184"/>
      <x:c r="H50" s="184"/>
      <x:c r="I50" s="184"/>
      <x:c r="J50" s="184"/>
      <x:c r="K50" s="184"/>
      <x:c r="L50" s="184"/>
      <x:c r="M50" s="184"/>
      <x:c r="N50" s="184"/>
      <x:c r="O50" s="184"/>
      <x:c r="P50" s="184"/>
      <x:c r="Q50" s="184"/>
      <x:c r="R50" s="184"/>
      <x:c r="S50" s="184"/>
      <x:c r="T50" s="184"/>
      <x:c r="U50" s="184"/>
      <x:c r="V50" s="184"/>
    </x:row>
    <x:row r="51">
      <x:c r="A51" s="176" t="str">
        <x:v>基准情形：有效单价与有效公司份额</x:v>
      </x:c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84"/>
      <x:c r="N51" s="184"/>
      <x:c r="O51" s="184"/>
      <x:c r="P51" s="184"/>
      <x:c r="Q51" s="184"/>
      <x:c r="R51" s="184"/>
      <x:c r="S51" s="184"/>
      <x:c r="T51" s="184"/>
      <x:c r="U51" s="184"/>
      <x:c r="V51" s="184"/>
    </x:row>
    <x:row r="52">
      <x:c r="A52" s="176" t="str">
        <x:v>产品线</x:v>
      </x:c>
      <x:c r="B52" s="176" t="str">
        <x:v>单价单位</x:v>
      </x:c>
      <x:c r="C52" s="176" t="str">
        <x:v>2026单价</x:v>
      </x:c>
      <x:c r="D52" s="176" t="str">
        <x:v>2027单价</x:v>
      </x:c>
      <x:c r="E52" s="176" t="str">
        <x:v>2028单价</x:v>
      </x:c>
      <x:c r="F52" s="176" t="str">
        <x:v>2029单价</x:v>
      </x:c>
      <x:c r="G52" s="176" t="str">
        <x:v>2030单价</x:v>
      </x:c>
      <x:c r="H52" s="176" t="str">
        <x:v>2026份额</x:v>
      </x:c>
      <x:c r="I52" s="176" t="str">
        <x:v>2027份额</x:v>
      </x:c>
      <x:c r="J52" s="176" t="str">
        <x:v>2028份额</x:v>
      </x:c>
      <x:c r="K52" s="176" t="str">
        <x:v>2029份额</x:v>
      </x:c>
      <x:c r="L52" s="176" t="str">
        <x:v>2030份额</x:v>
      </x:c>
      <x:c r="M52" s="184"/>
      <x:c r="N52" s="184"/>
      <x:c r="O52" s="184"/>
      <x:c r="P52" s="184"/>
      <x:c r="Q52" s="184"/>
      <x:c r="R52" s="184"/>
      <x:c r="S52" s="184"/>
      <x:c r="T52" s="184"/>
      <x:c r="U52" s="184"/>
      <x:c r="V52" s="184"/>
    </x:row>
    <x:row r="53">
      <x:c r="A53" s="177" t="str">
        <x:v>800G可插拔透镜</x:v>
      </x:c>
      <x:c r="B53" s="177" t="str">
        <x:v>元/只透镜</x:v>
      </x:c>
      <x:c r="C53" s="178" t="n">
        <x:f>IF(SUM('规格明细'!G71)=0,0,SUM('规格明细'!K71)*100000000/SUM('规格明细'!G71))</x:f>
        <x:v>4</x:v>
      </x:c>
      <x:c r="D53" s="178" t="n">
        <x:f>IF(SUM('规格明细'!G83)=0,0,SUM('规格明细'!K83)*100000000/SUM('规格明细'!G83))</x:f>
        <x:v>3.6</x:v>
      </x:c>
      <x:c r="E53" s="178" t="n">
        <x:f>IF(SUM('规格明细'!G95)=0,0,SUM('规格明细'!K95)*100000000/SUM('规格明细'!G95))</x:f>
        <x:v>3.24</x:v>
      </x:c>
      <x:c r="F53" s="178" t="n">
        <x:f>IF(SUM('规格明细'!G107)=0,0,SUM('规格明细'!K107)*100000000/SUM('规格明细'!G107))</x:f>
        <x:v>2.9160000000000004</x:v>
      </x:c>
      <x:c r="G53" s="178" t="n">
        <x:f>IF(SUM('规格明细'!G119)=0,0,SUM('规格明细'!K119)*100000000/SUM('规格明细'!G119))</x:f>
        <x:v>2.6243999999999996</x:v>
      </x:c>
      <x:c r="H53" s="190" t="n">
        <x:f>IF(SUM('规格明细'!K71)=0,0,SUM('规格明细'!L71)/SUM('规格明细'!K71))</x:f>
        <x:v>0.04</x:v>
      </x:c>
      <x:c r="I53" s="190" t="n">
        <x:f>IF(SUM('规格明细'!K83)=0,0,SUM('规格明细'!L83)/SUM('规格明细'!K83))</x:f>
        <x:v>0.09</x:v>
      </x:c>
      <x:c r="J53" s="190" t="n">
        <x:f>IF(SUM('规格明细'!K95)=0,0,SUM('规格明细'!L95)/SUM('规格明细'!K95))</x:f>
        <x:v>0.1</x:v>
      </x:c>
      <x:c r="K53" s="190" t="n">
        <x:f>IF(SUM('规格明细'!K107)=0,0,SUM('规格明细'!L107)/SUM('规格明细'!K107))</x:f>
        <x:v>0.1</x:v>
      </x:c>
      <x:c r="L53" s="190" t="n">
        <x:f>IF(SUM('规格明细'!K119)=0,0,SUM('规格明细'!L119)/SUM('规格明细'!K119))</x:f>
        <x:v>0.1</x:v>
      </x:c>
      <x:c r="M53" s="184"/>
      <x:c r="N53" s="184"/>
      <x:c r="O53" s="184"/>
      <x:c r="P53" s="184"/>
      <x:c r="Q53" s="184"/>
      <x:c r="R53" s="184"/>
      <x:c r="S53" s="184"/>
      <x:c r="T53" s="184"/>
      <x:c r="U53" s="184"/>
      <x:c r="V53" s="184"/>
    </x:row>
    <x:row r="54">
      <x:c r="A54" s="177" t="str">
        <x:v>1.6T可插拔透镜</x:v>
      </x:c>
      <x:c r="B54" s="177" t="str">
        <x:v>元/只透镜</x:v>
      </x:c>
      <x:c r="C54" s="178" t="n">
        <x:f>IF(SUM('规格明细'!G72)=0,0,SUM('规格明细'!K72)*100000000/SUM('规格明细'!G72))</x:f>
        <x:v>5.6</x:v>
      </x:c>
      <x:c r="D54" s="178" t="n">
        <x:f>IF(SUM('规格明细'!G84)=0,0,SUM('规格明细'!K84)*100000000/SUM('规格明细'!G84))</x:f>
        <x:v>5.04</x:v>
      </x:c>
      <x:c r="E54" s="178" t="n">
        <x:f>IF(SUM('规格明细'!G96)=0,0,SUM('规格明细'!K96)*100000000/SUM('规格明细'!G96))</x:f>
        <x:v>4.536</x:v>
      </x:c>
      <x:c r="F54" s="178" t="n">
        <x:f>IF(SUM('规格明细'!G108)=0,0,SUM('规格明细'!K108)*100000000/SUM('规格明细'!G108))</x:f>
        <x:v>4.0824</x:v>
      </x:c>
      <x:c r="G54" s="178" t="n">
        <x:f>IF(SUM('规格明细'!G120)=0,0,SUM('规格明细'!K120)*100000000/SUM('规格明细'!G120))</x:f>
        <x:v>3.674159999999999</x:v>
      </x:c>
      <x:c r="H54" s="190" t="n">
        <x:f>IF(SUM('规格明细'!K72)=0,0,SUM('规格明细'!L72)/SUM('规格明细'!K72))</x:f>
        <x:v>0.04</x:v>
      </x:c>
      <x:c r="I54" s="190" t="n">
        <x:f>IF(SUM('规格明细'!K84)=0,0,SUM('规格明细'!L84)/SUM('规格明细'!K84))</x:f>
        <x:v>0.09</x:v>
      </x:c>
      <x:c r="J54" s="190" t="n">
        <x:f>IF(SUM('规格明细'!K96)=0,0,SUM('规格明细'!L96)/SUM('规格明细'!K96))</x:f>
        <x:v>0.1</x:v>
      </x:c>
      <x:c r="K54" s="190" t="n">
        <x:f>IF(SUM('规格明细'!K108)=0,0,SUM('规格明细'!L108)/SUM('规格明细'!K108))</x:f>
        <x:v>0.1</x:v>
      </x:c>
      <x:c r="L54" s="190" t="n">
        <x:f>IF(SUM('规格明细'!K120)=0,0,SUM('规格明细'!L120)/SUM('规格明细'!K120))</x:f>
        <x:v>0.1</x:v>
      </x:c>
      <x:c r="M54" s="184"/>
      <x:c r="N54" s="184"/>
      <x:c r="O54" s="184"/>
      <x:c r="P54" s="184"/>
      <x:c r="Q54" s="184"/>
      <x:c r="R54" s="184"/>
      <x:c r="S54" s="184"/>
      <x:c r="T54" s="184"/>
      <x:c r="U54" s="184"/>
      <x:c r="V54" s="184"/>
    </x:row>
    <x:row r="55">
      <x:c r="A55" s="177" t="str">
        <x:v>OCS NxN透镜阵列</x:v>
      </x:c>
      <x:c r="B55" s="177" t="str">
        <x:v>元/总光通道</x:v>
      </x:c>
      <x:c r="C55" s="178" t="n">
        <x:f>IF(SUM('规格明细'!G73,'规格明细'!G74)=0,0,SUM('规格明细'!K73,'规格明细'!K74)*100000000/SUM('规格明细'!G73,'规格明细'!G74))</x:f>
        <x:v>29.09090909090909</x:v>
      </x:c>
      <x:c r="D55" s="178" t="n">
        <x:f>IF(SUM('规格明细'!G85,'规格明细'!G86)=0,0,SUM('规格明细'!K85,'规格明细'!K86)*100000000/SUM('规格明细'!G85,'规格明细'!G86))</x:f>
        <x:v>26</x:v>
      </x:c>
      <x:c r="E55" s="178" t="n">
        <x:f>IF(SUM('规格明细'!G97,'规格明细'!G98)=0,0,SUM('规格明细'!K97,'规格明细'!K98)*100000000/SUM('规格明细'!G97,'规格明细'!G98))</x:f>
        <x:v>25.24931506849315</x:v>
      </x:c>
      <x:c r="F55" s="178" t="n">
        <x:f>IF(SUM('规格明细'!G109,'规格明细'!G110)=0,0,SUM('规格明细'!K109,'规格明细'!K110)*100000000/SUM('规格明细'!G109,'规格明细'!G110))</x:f>
        <x:v>23.623291139240507</x:v>
      </x:c>
      <x:c r="G55" s="178" t="n">
        <x:f>IF(SUM('规格明细'!G121,'规格明细'!G122)=0,0,SUM('规格明细'!K121,'规格明细'!K122)*100000000/SUM('规格明细'!G121,'规格明细'!G122))</x:f>
        <x:v>21.955764705882356</x:v>
      </x:c>
      <x:c r="H55" s="190" t="n">
        <x:f>IF(SUM('规格明细'!K73,'规格明细'!K74)=0,0,SUM('规格明细'!L73,'规格明细'!L74)/SUM('规格明细'!K73,'规格明细'!K74))</x:f>
        <x:v>0.9312500000000001</x:v>
      </x:c>
      <x:c r="I55" s="190" t="n">
        <x:f>IF(SUM('规格明细'!K85,'规格明细'!K86)=0,0,SUM('规格明细'!L85,'规格明细'!L86)/SUM('规格明细'!K85,'规格明细'!K86))</x:f>
        <x:v>0.9384615384615387</x:v>
      </x:c>
      <x:c r="J55" s="190" t="n">
        <x:f>IF(SUM('规格明细'!K97,'规格明细'!K98)=0,0,SUM('规格明细'!L97,'规格明细'!L98)/SUM('规格明细'!K97,'规格明细'!K98))</x:f>
        <x:v>0.8429687500000002</x:v>
      </x:c>
      <x:c r="K55" s="190" t="n">
        <x:f>IF(SUM('规格明细'!K109,'规格明细'!K110)=0,0,SUM('规格明细'!L109,'规格明细'!L110)/SUM('规格明细'!K109,'规格明细'!K110))</x:f>
        <x:v>0.7451388888888888</x:v>
      </x:c>
      <x:c r="L55" s="190" t="n">
        <x:f>IF(SUM('规格明细'!K121,'规格明细'!K122)=0,0,SUM('规格明细'!L121,'规格明细'!L122)/SUM('规格明细'!K121,'规格明细'!K122))</x:f>
        <x:v>0.6468750000000001</x:v>
      </x:c>
      <x:c r="M55" s="184"/>
      <x:c r="N55" s="184"/>
      <x:c r="O55" s="184"/>
      <x:c r="P55" s="184"/>
      <x:c r="Q55" s="184"/>
      <x:c r="R55" s="184"/>
      <x:c r="S55" s="184"/>
      <x:c r="T55" s="184"/>
      <x:c r="U55" s="184"/>
      <x:c r="V55" s="184"/>
    </x:row>
    <x:row r="56">
      <x:c r="A56" s="177" t="str">
        <x:v>FAU V型槽</x:v>
      </x:c>
      <x:c r="B56" s="177" t="str">
        <x:v>元/通道</x:v>
      </x:c>
      <x:c r="C56" s="178" t="n">
        <x:f>IF(SUM('规格明细'!G75,'规格明细'!G76)=0,0,SUM('规格明细'!K75,'规格明细'!K76)*100000000/SUM('规格明细'!G75,'规格明细'!G76))</x:f>
        <x:v>8.959999999999997</x:v>
      </x:c>
      <x:c r="D56" s="178" t="n">
        <x:f>IF(SUM('规格明细'!G87,'规格明细'!G88)=0,0,SUM('规格明细'!K87,'规格明细'!K88)*100000000/SUM('规格明细'!G87,'规格明细'!G88))</x:f>
        <x:v>7.167999999999998</x:v>
      </x:c>
      <x:c r="E56" s="178" t="n">
        <x:f>IF(SUM('规格明细'!G99,'规格明细'!G100)=0,0,SUM('规格明细'!K99,'规格明细'!K100)*100000000/SUM('规格明细'!G99,'规格明细'!G100))</x:f>
        <x:v>7.3728</x:v>
      </x:c>
      <x:c r="F56" s="178" t="n">
        <x:f>IF(SUM('规格明细'!G111,'规格明细'!G112)=0,0,SUM('规格明细'!K111,'规格明细'!K112)*100000000/SUM('规格明细'!G111,'规格明细'!G112))</x:f>
        <x:v>6.949701818181818</x:v>
      </x:c>
      <x:c r="G56" s="178" t="n">
        <x:f>IF(SUM('规格明细'!G123,'规格明细'!G124)=0,0,SUM('规格明细'!K123,'规格明细'!K124)*100000000/SUM('规格明细'!G123,'规格明细'!G124))</x:f>
        <x:v>6.386688</x:v>
      </x:c>
      <x:c r="H56" s="190" t="n">
        <x:f>IF(SUM('规格明细'!K75,'规格明细'!K76)=0,0,SUM('规格明细'!L75,'规格明细'!L76)/SUM('规格明细'!K75,'规格明细'!K76))</x:f>
        <x:v>0.45</x:v>
      </x:c>
      <x:c r="I56" s="190" t="n">
        <x:f>IF(SUM('规格明细'!K87,'规格明细'!K88)=0,0,SUM('规格明细'!L87,'规格明细'!L88)/SUM('规格明细'!K87,'规格明细'!K88))</x:f>
        <x:v>0.5</x:v>
      </x:c>
      <x:c r="J56" s="190" t="n">
        <x:f>IF(SUM('规格明细'!K99,'规格明细'!K100)=0,0,SUM('规格明细'!L99,'规格明细'!L100)/SUM('规格明细'!K99,'规格明细'!K100))</x:f>
        <x:v>0.58125</x:v>
      </x:c>
      <x:c r="K56" s="190" t="n">
        <x:f>IF(SUM('规格明细'!K111,'规格明细'!K112)=0,0,SUM('规格明细'!L111,'规格明细'!L112)/SUM('规格明细'!K111,'规格明细'!K112))</x:f>
        <x:v>0.6411392405063292</x:v>
      </x:c>
      <x:c r="L56" s="190" t="n">
        <x:f>IF(SUM('规格明细'!K123,'规格明细'!K124)=0,0,SUM('规格明细'!L123,'规格明细'!L124)/SUM('规格明细'!K123,'规格明细'!K124))</x:f>
        <x:v>0.6954545454545455</x:v>
      </x:c>
      <x:c r="M56" s="184"/>
      <x:c r="N56" s="184"/>
      <x:c r="O56" s="184"/>
      <x:c r="P56" s="184"/>
      <x:c r="Q56" s="184"/>
      <x:c r="R56" s="184"/>
      <x:c r="S56" s="184"/>
      <x:c r="T56" s="184"/>
      <x:c r="U56" s="184"/>
      <x:c r="V56" s="184"/>
    </x:row>
    <x:row r="57">
      <x:c r="A57" s="177" t="str">
        <x:v>FAU棱镜阵列</x:v>
      </x:c>
      <x:c r="B57" s="177" t="str">
        <x:v>元/通道</x:v>
      </x:c>
      <x:c r="C57" s="178" t="n">
        <x:f>IF(SUM('规格明细'!G77,'规格明细'!G78)=0,0,SUM('规格明细'!K77,'规格明细'!K78)*100000000/SUM('规格明细'!G77,'规格明细'!G78))</x:f>
        <x:v>12.8</x:v>
      </x:c>
      <x:c r="D57" s="178" t="n">
        <x:f>IF(SUM('规格明细'!G89,'规格明细'!G90)=0,0,SUM('规格明细'!K89,'规格明细'!K90)*100000000/SUM('规格明细'!G89,'规格明细'!G90))</x:f>
        <x:v>10.240000000000002</x:v>
      </x:c>
      <x:c r="E57" s="178" t="n">
        <x:f>IF(SUM('规格明细'!G101,'规格明细'!G102)=0,0,SUM('规格明细'!K101,'规格明细'!K102)*100000000/SUM('规格明细'!G101,'规格明细'!G102))</x:f>
        <x:v>10.532571428571428</x:v>
      </x:c>
      <x:c r="F57" s="178" t="n">
        <x:f>IF(SUM('规格明细'!G113,'规格明细'!G114)=0,0,SUM('规格明细'!K113,'规格明细'!K114)*100000000/SUM('规格明细'!G113,'规格明细'!G114))</x:f>
        <x:v>9.928145454545456</x:v>
      </x:c>
      <x:c r="G57" s="178" t="n">
        <x:f>IF(SUM('规格明细'!G125,'规格明细'!G126)=0,0,SUM('规格明细'!K125,'规格明细'!K126)*100000000/SUM('规格明细'!G125,'规格明细'!G126))</x:f>
        <x:v>9.12384</x:v>
      </x:c>
      <x:c r="H57" s="190" t="n">
        <x:f>'机会输入'!E24</x:f>
        <x:v>0.45</x:v>
      </x:c>
      <x:c r="I57" s="190" t="n">
        <x:f>'机会输入'!F24</x:f>
        <x:v>0.45</x:v>
      </x:c>
      <x:c r="J57" s="190" t="n">
        <x:f>'机会输入'!G24</x:f>
        <x:v>0.45</x:v>
      </x:c>
      <x:c r="K57" s="190" t="n">
        <x:f>'机会输入'!H24</x:f>
        <x:v>0.45</x:v>
      </x:c>
      <x:c r="L57" s="190" t="n">
        <x:f>'机会输入'!I24</x:f>
        <x:v>0.45</x:v>
      </x:c>
      <x:c r="M57" s="184"/>
      <x:c r="N57" s="184"/>
      <x:c r="O57" s="184"/>
      <x:c r="P57" s="184"/>
      <x:c r="Q57" s="184"/>
      <x:c r="R57" s="184"/>
      <x:c r="S57" s="184"/>
      <x:c r="T57" s="184"/>
      <x:c r="U57" s="184"/>
      <x:c r="V57" s="184"/>
    </x:row>
    <x:row r="58">
      <x:c r="A58" s="177" t="str">
        <x:v>ELS透镜＋热沉</x:v>
      </x:c>
      <x:c r="B58" s="177" t="str">
        <x:v>元/激光器</x:v>
      </x:c>
      <x:c r="C58" s="178" t="n">
        <x:f>IF(SUM('规格明细'!G79,'规格明细'!G80)=0,0,SUM('规格明细'!K79,'规格明细'!K80)*100000000/SUM('规格明细'!G79,'规格明细'!G80))</x:f>
        <x:v>64</x:v>
      </x:c>
      <x:c r="D58" s="178" t="n">
        <x:f>IF(SUM('规格明细'!G91,'规格明细'!G92)=0,0,SUM('规格明细'!K91,'规格明细'!K92)*100000000/SUM('规格明细'!G91,'规格明细'!G92))</x:f>
        <x:v>51.2</x:v>
      </x:c>
      <x:c r="E58" s="178" t="n">
        <x:f>IF(SUM('规格明细'!G103,'规格明细'!G104)=0,0,SUM('规格明细'!K103,'规格明细'!K104)*100000000/SUM('规格明细'!G103,'规格明细'!G104))</x:f>
        <x:v>50.688</x:v>
      </x:c>
      <x:c r="F58" s="178" t="n">
        <x:f>IF(SUM('规格明细'!G115,'规格明细'!G116)=0,0,SUM('规格明细'!K115,'规格明细'!K116)*100000000/SUM('规格明细'!G115,'规格明细'!G116))</x:f>
        <x:v>48.2112</x:v>
      </x:c>
      <x:c r="G58" s="178" t="n">
        <x:f>IF(SUM('规格明细'!G127,'规格明细'!G128)=0,0,SUM('规格明细'!K127,'规格明细'!K128)*100000000/SUM('规格明细'!G127,'规格明细'!G128))</x:f>
        <x:v>44.78976</x:v>
      </x:c>
      <x:c r="H58" s="190" t="n">
        <x:f>IF(SUM('规格明细'!K79,'规格明细'!K80)=0,0,SUM('规格明细'!L79,'规格明细'!L80)/SUM('规格明细'!K79,'规格明细'!K80))</x:f>
        <x:v>0.45</x:v>
      </x:c>
      <x:c r="I58" s="190" t="n">
        <x:f>IF(SUM('规格明细'!K91,'规格明细'!K92)=0,0,SUM('规格明细'!L91,'规格明细'!L92)/SUM('规格明细'!K91,'规格明细'!K92))</x:f>
        <x:v>0.45</x:v>
      </x:c>
      <x:c r="J58" s="190" t="n">
        <x:f>IF(SUM('规格明细'!K103,'规格明细'!K104)=0,0,SUM('规格明细'!L103,'规格明细'!L104)/SUM('规格明细'!K103,'规格明细'!K104))</x:f>
        <x:v>0.45606060606060606</x:v>
      </x:c>
      <x:c r="K58" s="190" t="n">
        <x:f>IF(SUM('规格明细'!K115,'规格明细'!K116)=0,0,SUM('规格明细'!L115,'规格明细'!L116)/SUM('规格明细'!K115,'规格明细'!K116))</x:f>
        <x:v>0.4516129032258065</x:v>
      </x:c>
      <x:c r="L58" s="190" t="n">
        <x:f>IF(SUM('规格明细'!K127,'规格明细'!K128)=0,0,SUM('规格明细'!L127,'规格明细'!L128)/SUM('规格明细'!K127,'规格明细'!K128))</x:f>
        <x:v>0.44166666666666665</x:v>
      </x:c>
      <x:c r="M58" s="184"/>
      <x:c r="N58" s="184"/>
      <x:c r="O58" s="184"/>
      <x:c r="P58" s="184"/>
      <x:c r="Q58" s="184"/>
      <x:c r="R58" s="184"/>
      <x:c r="S58" s="184"/>
      <x:c r="T58" s="184"/>
      <x:c r="U58" s="184"/>
      <x:c r="V58" s="184"/>
    </x:row>
    <x:row r="59">
      <x:c r="A59" s="177" t="str">
        <x:v>FAU量测设备</x:v>
      </x:c>
      <x:c r="B59" s="177" t="str">
        <x:v>元/台</x:v>
      </x:c>
      <x:c r="C59" s="178" t="n">
        <x:f>IF(SUM('规格明细'!G81,'规格明细'!G82)=0,0,SUM('规格明细'!K81,'规格明细'!K82)*100000000/SUM('规格明细'!G81,'规格明细'!G82))</x:f>
        <x:v>64000</x:v>
      </x:c>
      <x:c r="D59" s="178" t="n">
        <x:f>IF(SUM('规格明细'!G93,'规格明细'!G94)=0,0,SUM('规格明细'!K93,'规格明细'!K94)*100000000/SUM('规格明细'!G93,'规格明细'!G94))</x:f>
        <x:v>64000</x:v>
      </x:c>
      <x:c r="E59" s="178" t="n">
        <x:f>IF(SUM('规格明细'!G105,'规格明细'!G106)=0,0,SUM('规格明细'!K105,'规格明细'!K106)*100000000/SUM('规格明细'!G105,'规格明细'!G106))</x:f>
        <x:v>70400</x:v>
      </x:c>
      <x:c r="F59" s="178" t="n">
        <x:f>IF(SUM('规格明细'!G117,'规格明细'!G118)=0,0,SUM('规格明细'!K117,'规格明细'!K118)*100000000/SUM('规格明细'!G117,'规格明细'!G118))</x:f>
        <x:v>74399.99999999999</x:v>
      </x:c>
      <x:c r="G59" s="178" t="n">
        <x:f>IF(SUM('规格明细'!G129,'规格明细'!G130)=0,0,SUM('规格明细'!K129,'规格明细'!K130)*100000000/SUM('规格明细'!G129,'规格明细'!G130))</x:f>
        <x:v>76800</x:v>
      </x:c>
      <x:c r="H59" s="190" t="n">
        <x:f>IF(SUM('规格明细'!K81,'规格明细'!K82)=0,0,SUM('规格明细'!L81,'规格明细'!L82)/SUM('规格明细'!K81,'规格明细'!K82))</x:f>
        <x:v>0.1</x:v>
      </x:c>
      <x:c r="I59" s="190" t="n">
        <x:f>IF(SUM('规格明细'!K93,'规格明细'!K94)=0,0,SUM('规格明细'!L93,'规格明细'!L94)/SUM('规格明细'!K93,'规格明细'!K94))</x:f>
        <x:v>0.3</x:v>
      </x:c>
      <x:c r="J59" s="190" t="n">
        <x:f>IF(SUM('规格明细'!K105,'规格明细'!K106)=0,0,SUM('规格明细'!L105,'规格明细'!L106)/SUM('规格明细'!K105,'规格明细'!K106))</x:f>
        <x:v>0.4727272727272727</x:v>
      </x:c>
      <x:c r="K59" s="190" t="n">
        <x:f>IF(SUM('规格明细'!K117,'规格明细'!K118)=0,0,SUM('规格明细'!L117,'规格明细'!L118)/SUM('规格明细'!K117,'规格明细'!K118))</x:f>
        <x:v>0.5349462365591398</x:v>
      </x:c>
      <x:c r="L59" s="190" t="n">
        <x:f>IF(SUM('规格明细'!K129,'规格明细'!K130)=0,0,SUM('规格明细'!L129,'规格明细'!L130)/SUM('规格明细'!K129,'规格明细'!K130))</x:f>
        <x:v>0.5916666666666668</x:v>
      </x:c>
      <x:c r="M59" s="184"/>
      <x:c r="N59" s="184"/>
      <x:c r="O59" s="184"/>
      <x:c r="P59" s="184"/>
      <x:c r="Q59" s="184"/>
      <x:c r="R59" s="184"/>
      <x:c r="S59" s="184"/>
      <x:c r="T59" s="184"/>
      <x:c r="U59" s="184"/>
      <x:c r="V59" s="184"/>
    </x:row>
    <x:row r="60">
      <x:c r="A60" s="184"/>
      <x:c r="B60" s="184"/>
      <x:c r="C60" s="184"/>
      <x:c r="D60" s="184"/>
      <x:c r="E60" s="184"/>
      <x:c r="F60" s="184"/>
      <x:c r="G60" s="184"/>
      <x:c r="H60" s="184"/>
      <x:c r="I60" s="184"/>
      <x:c r="J60" s="184"/>
      <x:c r="K60" s="184"/>
      <x:c r="L60" s="184"/>
      <x:c r="M60" s="184"/>
      <x:c r="N60" s="184"/>
      <x:c r="O60" s="184"/>
      <x:c r="P60" s="184"/>
      <x:c r="Q60" s="184"/>
      <x:c r="R60" s="184"/>
      <x:c r="S60" s="184"/>
      <x:c r="T60" s="184"/>
      <x:c r="U60" s="184"/>
      <x:c r="V60" s="184"/>
    </x:row>
    <x:row r="61">
      <x:c r="A61" s="176" t="str">
        <x:v>乐观情形：有效单价与有效公司份额</x:v>
      </x:c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84"/>
      <x:c r="N61" s="184"/>
      <x:c r="O61" s="184"/>
      <x:c r="P61" s="184"/>
      <x:c r="Q61" s="184"/>
      <x:c r="R61" s="184"/>
      <x:c r="S61" s="184"/>
      <x:c r="T61" s="184"/>
      <x:c r="U61" s="184"/>
      <x:c r="V61" s="184"/>
    </x:row>
    <x:row r="62">
      <x:c r="A62" s="176" t="str">
        <x:v>产品线</x:v>
      </x:c>
      <x:c r="B62" s="176" t="str">
        <x:v>单价单位</x:v>
      </x:c>
      <x:c r="C62" s="176" t="str">
        <x:v>2026单价</x:v>
      </x:c>
      <x:c r="D62" s="176" t="str">
        <x:v>2027单价</x:v>
      </x:c>
      <x:c r="E62" s="176" t="str">
        <x:v>2028单价</x:v>
      </x:c>
      <x:c r="F62" s="176" t="str">
        <x:v>2029单价</x:v>
      </x:c>
      <x:c r="G62" s="176" t="str">
        <x:v>2030单价</x:v>
      </x:c>
      <x:c r="H62" s="176" t="str">
        <x:v>2026份额</x:v>
      </x:c>
      <x:c r="I62" s="176" t="str">
        <x:v>2027份额</x:v>
      </x:c>
      <x:c r="J62" s="176" t="str">
        <x:v>2028份额</x:v>
      </x:c>
      <x:c r="K62" s="176" t="str">
        <x:v>2029份额</x:v>
      </x:c>
      <x:c r="L62" s="176" t="str">
        <x:v>2030份额</x:v>
      </x:c>
      <x:c r="M62" s="184"/>
      <x:c r="N62" s="184"/>
      <x:c r="O62" s="184"/>
      <x:c r="P62" s="184"/>
      <x:c r="Q62" s="184"/>
      <x:c r="R62" s="184"/>
      <x:c r="S62" s="184"/>
      <x:c r="T62" s="184"/>
      <x:c r="U62" s="184"/>
      <x:c r="V62" s="184"/>
    </x:row>
    <x:row r="63">
      <x:c r="A63" s="177" t="str">
        <x:v>800G可插拔透镜</x:v>
      </x:c>
      <x:c r="B63" s="177" t="str">
        <x:v>元/只透镜</x:v>
      </x:c>
      <x:c r="C63" s="178" t="n">
        <x:f>IF(SUM('规格明细'!G136)=0,0,SUM('规格明细'!K136)*100000000/SUM('规格明细'!G136))</x:f>
        <x:v>4.4</x:v>
      </x:c>
      <x:c r="D63" s="178" t="n">
        <x:f>IF(SUM('规格明细'!G148)=0,0,SUM('规格明细'!K148)*100000000/SUM('规格明细'!G148))</x:f>
        <x:v>3.960000000000001</x:v>
      </x:c>
      <x:c r="E63" s="178" t="n">
        <x:f>IF(SUM('规格明细'!G160)=0,0,SUM('规格明细'!K160)*100000000/SUM('规格明细'!G160))</x:f>
        <x:v>3.564000000000001</x:v>
      </x:c>
      <x:c r="F63" s="178" t="n">
        <x:f>IF(SUM('规格明细'!G172)=0,0,SUM('规格明细'!K172)*100000000/SUM('规格明细'!G172))</x:f>
        <x:v>3.2076000000000002</x:v>
      </x:c>
      <x:c r="G63" s="178" t="n">
        <x:f>IF(SUM('规格明细'!G184)=0,0,SUM('规格明细'!K184)*100000000/SUM('规格明细'!G184))</x:f>
        <x:v>2.8868400000000003</x:v>
      </x:c>
      <x:c r="H63" s="190" t="n">
        <x:f>IF(SUM('规格明细'!K136)=0,0,SUM('规格明细'!L136)/SUM('规格明细'!K136))</x:f>
        <x:v>0.045</x:v>
      </x:c>
      <x:c r="I63" s="190" t="n">
        <x:f>IF(SUM('规格明细'!K148)=0,0,SUM('规格明细'!L148)/SUM('规格明细'!K148))</x:f>
        <x:v>0.1</x:v>
      </x:c>
      <x:c r="J63" s="190" t="n">
        <x:f>IF(SUM('规格明细'!K160)=0,0,SUM('规格明细'!L160)/SUM('规格明细'!K160))</x:f>
        <x:v>0.11000000000000001</x:v>
      </x:c>
      <x:c r="K63" s="190" t="n">
        <x:f>IF(SUM('规格明细'!K172)=0,0,SUM('规格明细'!L172)/SUM('规格明细'!K172))</x:f>
        <x:v>0.11000000000000003</x:v>
      </x:c>
      <x:c r="L63" s="190" t="n">
        <x:f>IF(SUM('规格明细'!K184)=0,0,SUM('规格明细'!L184)/SUM('规格明细'!K184))</x:f>
        <x:v>0.11</x:v>
      </x:c>
      <x:c r="M63" s="184"/>
      <x:c r="N63" s="184"/>
      <x:c r="O63" s="184"/>
      <x:c r="P63" s="184"/>
      <x:c r="Q63" s="184"/>
      <x:c r="R63" s="184"/>
      <x:c r="S63" s="184"/>
      <x:c r="T63" s="184"/>
      <x:c r="U63" s="184"/>
      <x:c r="V63" s="184"/>
    </x:row>
    <x:row r="64">
      <x:c r="A64" s="177" t="str">
        <x:v>1.6T可插拔透镜</x:v>
      </x:c>
      <x:c r="B64" s="177" t="str">
        <x:v>元/只透镜</x:v>
      </x:c>
      <x:c r="C64" s="178" t="n">
        <x:f>IF(SUM('规格明细'!G137)=0,0,SUM('规格明细'!K137)*100000000/SUM('规格明细'!G137))</x:f>
        <x:v>6.16</x:v>
      </x:c>
      <x:c r="D64" s="178" t="n">
        <x:f>IF(SUM('规格明细'!G149)=0,0,SUM('规格明细'!K149)*100000000/SUM('规格明细'!G149))</x:f>
        <x:v>5.544000000000001</x:v>
      </x:c>
      <x:c r="E64" s="178" t="n">
        <x:f>IF(SUM('规格明细'!G161)=0,0,SUM('规格明细'!K161)*100000000/SUM('规格明细'!G161))</x:f>
        <x:v>4.9896</x:v>
      </x:c>
      <x:c r="F64" s="178" t="n">
        <x:f>IF(SUM('规格明细'!G173)=0,0,SUM('规格明细'!K173)*100000000/SUM('规格明细'!G173))</x:f>
        <x:v>4.490639999999999</x:v>
      </x:c>
      <x:c r="G64" s="178" t="n">
        <x:f>IF(SUM('规格明细'!G185)=0,0,SUM('规格明细'!K185)*100000000/SUM('规格明细'!G185))</x:f>
        <x:v>4.041576</x:v>
      </x:c>
      <x:c r="H64" s="190" t="n">
        <x:f>IF(SUM('规格明细'!K137)=0,0,SUM('规格明细'!L137)/SUM('规格明细'!K137))</x:f>
        <x:v>0.04499999999999999</x:v>
      </x:c>
      <x:c r="I64" s="190" t="n">
        <x:f>IF(SUM('规格明细'!K149)=0,0,SUM('规格明细'!L149)/SUM('规格明细'!K149))</x:f>
        <x:v>0.1</x:v>
      </x:c>
      <x:c r="J64" s="190" t="n">
        <x:f>IF(SUM('规格明细'!K161)=0,0,SUM('规格明细'!L161)/SUM('规格明细'!K161))</x:f>
        <x:v>0.11000000000000001</x:v>
      </x:c>
      <x:c r="K64" s="190" t="n">
        <x:f>IF(SUM('规格明细'!K173)=0,0,SUM('规格明细'!L173)/SUM('规格明细'!K173))</x:f>
        <x:v>0.11000000000000001</x:v>
      </x:c>
      <x:c r="L64" s="190" t="n">
        <x:f>IF(SUM('规格明细'!K185)=0,0,SUM('规格明细'!L185)/SUM('规格明细'!K185))</x:f>
        <x:v>0.11000000000000001</x:v>
      </x:c>
      <x:c r="M64" s="184"/>
      <x:c r="N64" s="184"/>
      <x:c r="O64" s="184"/>
      <x:c r="P64" s="184"/>
      <x:c r="Q64" s="184"/>
      <x:c r="R64" s="184"/>
      <x:c r="S64" s="184"/>
      <x:c r="T64" s="184"/>
      <x:c r="U64" s="184"/>
      <x:c r="V64" s="184"/>
    </x:row>
    <x:row r="65">
      <x:c r="A65" s="177" t="str">
        <x:v>OCS NxN透镜阵列</x:v>
      </x:c>
      <x:c r="B65" s="177" t="str">
        <x:v>元/总光通道</x:v>
      </x:c>
      <x:c r="C65" s="178" t="n">
        <x:f>IF(SUM('规格明细'!G138,'规格明细'!G139)=0,0,SUM('规格明细'!K138,'规格明细'!K139)*100000000/SUM('规格明细'!G138,'规格明细'!G139))</x:f>
        <x:v>36.36363636363637</x:v>
      </x:c>
      <x:c r="D65" s="178" t="n">
        <x:f>IF(SUM('规格明细'!G150,'规格明细'!G151)=0,0,SUM('规格明细'!K150,'规格明细'!K151)*100000000/SUM('规格明细'!G150,'规格明细'!G151))</x:f>
        <x:v>32.5</x:v>
      </x:c>
      <x:c r="E65" s="178" t="n">
        <x:f>IF(SUM('规格明细'!G162,'规格明细'!G163)=0,0,SUM('规格明细'!K162,'规格明细'!K163)*100000000/SUM('规格明细'!G162,'规格明细'!G163))</x:f>
        <x:v>31.561643835616437</x:v>
      </x:c>
      <x:c r="F65" s="178" t="n">
        <x:f>IF(SUM('规格明细'!G174,'规格明细'!G175)=0,0,SUM('规格明细'!K174,'规格明细'!K175)*100000000/SUM('规格明细'!G174,'规格明细'!G175))</x:f>
        <x:v>29.529113924050634</x:v>
      </x:c>
      <x:c r="G65" s="178" t="n">
        <x:f>IF(SUM('规格明细'!G186,'规格明细'!G187)=0,0,SUM('规格明细'!K186,'规格明细'!K187)*100000000/SUM('规格明细'!G186,'规格明细'!G187))</x:f>
        <x:v>27.44470588235295</x:v>
      </x:c>
      <x:c r="H65" s="190" t="n">
        <x:f>IF(SUM('规格明细'!K138,'规格明细'!K139)=0,0,SUM('规格明细'!L138,'规格明细'!L139)/SUM('规格明细'!K138,'规格明细'!K139))</x:f>
        <x:v>1</x:v>
      </x:c>
      <x:c r="I65" s="190" t="n">
        <x:f>IF(SUM('规格明细'!K150,'规格明细'!K151)=0,0,SUM('规格明细'!L150,'规格明细'!L151)/SUM('规格明细'!K150,'规格明细'!K151))</x:f>
        <x:v>1</x:v>
      </x:c>
      <x:c r="J65" s="190" t="n">
        <x:f>IF(SUM('规格明细'!K162,'规格明细'!K163)=0,0,SUM('规格明细'!L162,'规格明细'!L163)/SUM('规格明细'!K162,'规格明细'!K163))</x:f>
        <x:v>0.9272656250000003</x:v>
      </x:c>
      <x:c r="K65" s="190" t="n">
        <x:f>IF(SUM('规格明细'!K174,'规格明细'!K175)=0,0,SUM('规格明细'!L174,'规格明细'!L175)/SUM('规格明细'!K174,'规格明细'!K175))</x:f>
        <x:v>0.8196527777777779</x:v>
      </x:c>
      <x:c r="L65" s="190" t="n">
        <x:f>IF(SUM('规格明细'!K186,'规格明细'!K187)=0,0,SUM('规格明细'!L186,'规格明细'!L187)/SUM('规格明细'!K186,'规格明细'!K187))</x:f>
        <x:v>0.7115625</x:v>
      </x:c>
      <x:c r="M65" s="184"/>
      <x:c r="N65" s="184"/>
      <x:c r="O65" s="184"/>
      <x:c r="P65" s="184"/>
      <x:c r="Q65" s="184"/>
      <x:c r="R65" s="184"/>
      <x:c r="S65" s="184"/>
      <x:c r="T65" s="184"/>
      <x:c r="U65" s="184"/>
      <x:c r="V65" s="184"/>
    </x:row>
    <x:row r="66">
      <x:c r="A66" s="177" t="str">
        <x:v>FAU V型槽</x:v>
      </x:c>
      <x:c r="B66" s="177" t="str">
        <x:v>元/通道</x:v>
      </x:c>
      <x:c r="C66" s="178" t="n">
        <x:f>IF(SUM('规格明细'!G140,'规格明细'!G141)=0,0,SUM('规格明细'!K140,'规格明细'!K141)*100000000/SUM('规格明细'!G140,'规格明细'!G141))</x:f>
        <x:v>9.856</x:v>
      </x:c>
      <x:c r="D66" s="178" t="n">
        <x:f>IF(SUM('规格明细'!G152,'规格明细'!G153)=0,0,SUM('规格明细'!K152,'规格明细'!K153)*100000000/SUM('规格明细'!G152,'规格明细'!G153))</x:f>
        <x:v>7.884800000000002</x:v>
      </x:c>
      <x:c r="E66" s="178" t="n">
        <x:f>IF(SUM('规格明细'!G164,'规格明细'!G165)=0,0,SUM('规格明细'!K164,'规格明细'!K165)*100000000/SUM('规格明细'!G164,'规格明细'!G165))</x:f>
        <x:v>8.110080000000002</x:v>
      </x:c>
      <x:c r="F66" s="178" t="n">
        <x:f>IF(SUM('规格明细'!G176,'规格明细'!G177)=0,0,SUM('规格明细'!K176,'规格明细'!K177)*100000000/SUM('规格明细'!G176,'规格明细'!G177))</x:f>
        <x:v>7.644672000000001</x:v>
      </x:c>
      <x:c r="G66" s="178" t="n">
        <x:f>IF(SUM('规格明细'!G188,'规格明细'!G189)=0,0,SUM('规格明细'!K188,'规格明细'!K189)*100000000/SUM('规格明细'!G188,'规格明细'!G189))</x:f>
        <x:v>7.0253568</x:v>
      </x:c>
      <x:c r="H66" s="190" t="n">
        <x:f>IF(SUM('规格明细'!K140,'规格明细'!K141)=0,0,SUM('规格明细'!L140,'规格明细'!L141)/SUM('规格明细'!K140,'规格明细'!K141))</x:f>
        <x:v>0.50625</x:v>
      </x:c>
      <x:c r="I66" s="190" t="n">
        <x:f>IF(SUM('规格明细'!K152,'规格明细'!K153)=0,0,SUM('规格明细'!L152,'规格明细'!L153)/SUM('规格明细'!K152,'规格明细'!K153))</x:f>
        <x:v>0.5555555555555556</x:v>
      </x:c>
      <x:c r="J66" s="190" t="n">
        <x:f>IF(SUM('规格明细'!K164,'规格明细'!K165)=0,0,SUM('规格明细'!L164,'规格明细'!L165)/SUM('规格明细'!K164,'规格明细'!K165))</x:f>
        <x:v>0.639375</x:v>
      </x:c>
      <x:c r="K66" s="190" t="n">
        <x:f>IF(SUM('规格明细'!K176,'规格明细'!K177)=0,0,SUM('规格明细'!L176,'规格明细'!L177)/SUM('规格明细'!K176,'规格明细'!K177))</x:f>
        <x:v>0.7052531645569621</x:v>
      </x:c>
      <x:c r="L66" s="190" t="n">
        <x:f>IF(SUM('规格明细'!K188,'规格明细'!K189)=0,0,SUM('规格明细'!L188,'规格明细'!L189)/SUM('规格明细'!K188,'规格明细'!K189))</x:f>
        <x:v>0.7650000000000001</x:v>
      </x:c>
      <x:c r="M66" s="184"/>
      <x:c r="N66" s="184"/>
      <x:c r="O66" s="184"/>
      <x:c r="P66" s="184"/>
      <x:c r="Q66" s="184"/>
      <x:c r="R66" s="184"/>
      <x:c r="S66" s="184"/>
      <x:c r="T66" s="184"/>
      <x:c r="U66" s="184"/>
      <x:c r="V66" s="184"/>
    </x:row>
    <x:row r="67">
      <x:c r="A67" s="177" t="str">
        <x:v>FAU棱镜阵列</x:v>
      </x:c>
      <x:c r="B67" s="177" t="str">
        <x:v>元/通道</x:v>
      </x:c>
      <x:c r="C67" s="178" t="n">
        <x:f>IF(SUM('规格明细'!G142,'规格明细'!G143)=0,0,SUM('规格明细'!K142,'规格明细'!K143)*100000000/SUM('规格明细'!G142,'规格明细'!G143))</x:f>
        <x:v>14.080000000000002</x:v>
      </x:c>
      <x:c r="D67" s="178" t="n">
        <x:f>IF(SUM('规格明细'!G154,'规格明细'!G155)=0,0,SUM('规格明细'!K154,'规格明细'!K155)*100000000/SUM('规格明细'!G154,'规格明细'!G155))</x:f>
        <x:v>11.264000000000003</x:v>
      </x:c>
      <x:c r="E67" s="178" t="n">
        <x:f>IF(SUM('规格明细'!G166,'规格明细'!G167)=0,0,SUM('规格明细'!K166,'规格明细'!K167)*100000000/SUM('规格明细'!G166,'规格明细'!G167))</x:f>
        <x:v>11.585828571428571</x:v>
      </x:c>
      <x:c r="F67" s="178" t="n">
        <x:f>IF(SUM('规格明细'!G178,'规格明细'!G179)=0,0,SUM('规格明细'!K178,'规格明细'!K179)*100000000/SUM('规格明细'!G178,'规格明细'!G179))</x:f>
        <x:v>10.920960000000003</x:v>
      </x:c>
      <x:c r="G67" s="178" t="n">
        <x:f>IF(SUM('规格明细'!G190,'规格明细'!G191)=0,0,SUM('规格明细'!K190,'规格明细'!K191)*100000000/SUM('规格明细'!G190,'规格明细'!G191))</x:f>
        <x:v>10.036224</x:v>
      </x:c>
      <x:c r="H67" s="190" t="n">
        <x:f>'机会输入'!E24</x:f>
        <x:v>0.45</x:v>
      </x:c>
      <x:c r="I67" s="190" t="n">
        <x:f>'机会输入'!F24</x:f>
        <x:v>0.45</x:v>
      </x:c>
      <x:c r="J67" s="190" t="n">
        <x:f>'机会输入'!G24</x:f>
        <x:v>0.45</x:v>
      </x:c>
      <x:c r="K67" s="190" t="n">
        <x:f>'机会输入'!H24</x:f>
        <x:v>0.45</x:v>
      </x:c>
      <x:c r="L67" s="190" t="n">
        <x:f>'机会输入'!I24</x:f>
        <x:v>0.45</x:v>
      </x:c>
      <x:c r="M67" s="184"/>
      <x:c r="N67" s="184"/>
      <x:c r="O67" s="184"/>
      <x:c r="P67" s="184"/>
      <x:c r="Q67" s="184"/>
      <x:c r="R67" s="184"/>
      <x:c r="S67" s="184"/>
      <x:c r="T67" s="184"/>
      <x:c r="U67" s="184"/>
      <x:c r="V67" s="184"/>
    </x:row>
    <x:row r="68">
      <x:c r="A68" s="177" t="str">
        <x:v>ELS透镜＋热沉</x:v>
      </x:c>
      <x:c r="B68" s="177" t="str">
        <x:v>元/激光器</x:v>
      </x:c>
      <x:c r="C68" s="178" t="n">
        <x:f>IF(SUM('规格明细'!G144,'规格明细'!G145)=0,0,SUM('规格明细'!K144,'规格明细'!K145)*100000000/SUM('规格明细'!G144,'规格明细'!G145))</x:f>
        <x:v>70.4</x:v>
      </x:c>
      <x:c r="D68" s="178" t="n">
        <x:f>IF(SUM('规格明细'!G156,'规格明细'!G157)=0,0,SUM('规格明细'!K156,'规格明细'!K157)*100000000/SUM('规格明细'!G156,'规格明细'!G157))</x:f>
        <x:v>56.32000000000001</x:v>
      </x:c>
      <x:c r="E68" s="178" t="n">
        <x:f>IF(SUM('规格明细'!G168,'规格明细'!G169)=0,0,SUM('规格明细'!K168,'规格明细'!K169)*100000000/SUM('规格明细'!G168,'规格明细'!G169))</x:f>
        <x:v>55.756800000000005</x:v>
      </x:c>
      <x:c r="F68" s="178" t="n">
        <x:f>IF(SUM('规格明细'!G180,'规格明细'!G181)=0,0,SUM('规格明细'!K180,'规格明细'!K181)*100000000/SUM('规格明细'!G180,'规格明细'!G181))</x:f>
        <x:v>53.03231999999999</x:v>
      </x:c>
      <x:c r="G68" s="178" t="n">
        <x:f>IF(SUM('规格明细'!G192,'规格明细'!G193)=0,0,SUM('规格明细'!K192,'规格明细'!K193)*100000000/SUM('规格明细'!G192,'规格明细'!G193))</x:f>
        <x:v>49.268736</x:v>
      </x:c>
      <x:c r="H68" s="190" t="n">
        <x:f>IF(SUM('规格明细'!K144,'规格明细'!K145)=0,0,SUM('规格明细'!L144,'规格明细'!L145)/SUM('规格明细'!K144,'规格明细'!K145))</x:f>
        <x:v>0.50625</x:v>
      </x:c>
      <x:c r="I68" s="190" t="n">
        <x:f>IF(SUM('规格明细'!K156,'规格明细'!K157)=0,0,SUM('规格明细'!L156,'规格明细'!L157)/SUM('规格明细'!K156,'规格明细'!K157))</x:f>
        <x:v>0.5</x:v>
      </x:c>
      <x:c r="J68" s="190" t="n">
        <x:f>IF(SUM('规格明细'!K168,'规格明细'!K169)=0,0,SUM('规格明细'!L168,'规格明细'!L169)/SUM('规格明细'!K168,'规格明细'!K169))</x:f>
        <x:v>0.5016666666666667</x:v>
      </x:c>
      <x:c r="K68" s="190" t="n">
        <x:f>IF(SUM('规格明细'!K180,'规格明细'!K181)=0,0,SUM('规格明细'!L180,'规格明细'!L181)/SUM('规格明细'!K180,'规格明细'!K181))</x:f>
        <x:v>0.4967741935483872</x:v>
      </x:c>
      <x:c r="L68" s="190" t="n">
        <x:f>IF(SUM('规格明细'!K192,'规格明细'!K193)=0,0,SUM('规格明细'!L192,'规格明细'!L193)/SUM('规格明细'!K192,'规格明细'!K193))</x:f>
        <x:v>0.4858333333333334</x:v>
      </x:c>
      <x:c r="M68" s="184"/>
      <x:c r="N68" s="184"/>
      <x:c r="O68" s="184"/>
      <x:c r="P68" s="184"/>
      <x:c r="Q68" s="184"/>
      <x:c r="R68" s="184"/>
      <x:c r="S68" s="184"/>
      <x:c r="T68" s="184"/>
      <x:c r="U68" s="184"/>
      <x:c r="V68" s="184"/>
    </x:row>
    <x:row r="69">
      <x:c r="A69" s="177" t="str">
        <x:v>FAU量测设备</x:v>
      </x:c>
      <x:c r="B69" s="177" t="str">
        <x:v>元/台</x:v>
      </x:c>
      <x:c r="C69" s="178" t="n">
        <x:f>IF(SUM('规格明细'!G146,'规格明细'!G147)=0,0,SUM('规格明细'!K146,'规格明细'!K147)*100000000/SUM('规格明细'!G146,'规格明细'!G147))</x:f>
        <x:v>70400</x:v>
      </x:c>
      <x:c r="D69" s="178" t="n">
        <x:f>IF(SUM('规格明细'!G158,'规格明细'!G159)=0,0,SUM('规格明细'!K158,'规格明细'!K159)*100000000/SUM('规格明细'!G158,'规格明细'!G159))</x:f>
        <x:v>70400</x:v>
      </x:c>
      <x:c r="E69" s="178" t="n">
        <x:f>IF(SUM('规格明细'!G170,'规格明细'!G171)=0,0,SUM('规格明细'!K170,'规格明细'!K171)*100000000/SUM('规格明细'!G170,'规格明细'!G171))</x:f>
        <x:v>77440</x:v>
      </x:c>
      <x:c r="F69" s="178" t="n">
        <x:f>IF(SUM('规格明细'!G182,'规格明细'!G183)=0,0,SUM('规格明细'!K182,'规格明细'!K183)*100000000/SUM('规格明细'!G182,'规格明细'!G183))</x:f>
        <x:v>81840</x:v>
      </x:c>
      <x:c r="G69" s="178" t="n">
        <x:f>IF(SUM('规格明细'!G194,'规格明细'!G195)=0,0,SUM('规格明细'!K194,'规格明细'!K195)*100000000/SUM('规格明细'!G194,'规格明细'!G195))</x:f>
        <x:v>84480</x:v>
      </x:c>
      <x:c r="H69" s="190" t="n">
        <x:f>IF(SUM('规格明细'!K146,'规格明细'!K147)=0,0,SUM('规格明细'!L146,'规格明细'!L147)/SUM('规格明细'!K146,'规格明细'!K147))</x:f>
        <x:v>0.1125</x:v>
      </x:c>
      <x:c r="I69" s="190" t="n">
        <x:f>IF(SUM('规格明细'!K158,'规格明细'!K159)=0,0,SUM('规格明细'!L158,'规格明细'!L159)/SUM('规格明细'!K158,'规格明细'!K159))</x:f>
        <x:v>0.3333333333333333</x:v>
      </x:c>
      <x:c r="J69" s="190" t="n">
        <x:f>IF(SUM('规格明细'!K170,'规格明细'!K171)=0,0,SUM('规格明细'!L170,'规格明细'!L171)/SUM('规格明细'!K170,'规格明细'!K171))</x:f>
        <x:v>0.5200000000000001</x:v>
      </x:c>
      <x:c r="K69" s="190" t="n">
        <x:f>IF(SUM('规格明细'!K182,'规格明细'!K183)=0,0,SUM('规格明细'!L182,'规格明细'!L183)/SUM('规格明细'!K182,'规格明细'!K183))</x:f>
        <x:v>0.5884408602150537</x:v>
      </x:c>
      <x:c r="L69" s="190" t="n">
        <x:f>IF(SUM('规格明细'!K194,'规格明细'!K195)=0,0,SUM('规格明细'!L194,'规格明细'!L195)/SUM('规格明细'!K194,'规格明细'!K195))</x:f>
        <x:v>0.6508333333333334</x:v>
      </x:c>
      <x:c r="M69" s="184"/>
      <x:c r="N69" s="184"/>
      <x:c r="O69" s="184"/>
      <x:c r="P69" s="184"/>
      <x:c r="Q69" s="184"/>
      <x:c r="R69" s="184"/>
      <x:c r="S69" s="184"/>
      <x:c r="T69" s="184"/>
      <x:c r="U69" s="184"/>
      <x:c r="V69" s="184"/>
    </x:row>
    <x:row r="70">
      <x:c r="A70" s="184"/>
      <x:c r="B70" s="184"/>
      <x:c r="C70" s="184"/>
      <x:c r="D70" s="184"/>
      <x:c r="E70" s="184"/>
      <x:c r="F70" s="184"/>
      <x:c r="G70" s="184"/>
      <x:c r="H70" s="184"/>
      <x:c r="I70" s="184"/>
      <x:c r="J70" s="184"/>
      <x:c r="K70" s="184"/>
      <x:c r="L70" s="184"/>
      <x:c r="M70" s="184"/>
      <x:c r="N70" s="184"/>
      <x:c r="O70" s="184"/>
      <x:c r="P70" s="184"/>
      <x:c r="Q70" s="184"/>
      <x:c r="R70" s="184"/>
      <x:c r="S70" s="184"/>
      <x:c r="T70" s="184"/>
      <x:c r="U70" s="184"/>
      <x:c r="V70" s="184"/>
    </x:row>
    <x:row r="71">
      <x:c r="A71" s="184"/>
      <x:c r="B71" s="184"/>
      <x:c r="C71" s="184"/>
      <x:c r="D71" s="184"/>
      <x:c r="E71" s="184"/>
      <x:c r="F71" s="184"/>
      <x:c r="G71" s="184"/>
      <x:c r="H71" s="184"/>
      <x:c r="I71" s="184"/>
      <x:c r="J71" s="184"/>
      <x:c r="K71" s="184"/>
      <x:c r="L71" s="184"/>
      <x:c r="M71" s="184"/>
      <x:c r="N71" s="184"/>
      <x:c r="O71" s="184"/>
      <x:c r="P71" s="184"/>
      <x:c r="Q71" s="184"/>
      <x:c r="R71" s="184"/>
      <x:c r="S71" s="184"/>
      <x:c r="T71" s="184"/>
      <x:c r="U71" s="184"/>
      <x:c r="V71" s="184"/>
    </x:row>
    <x:row r="72">
      <x:c r="A72" s="184"/>
      <x:c r="B72" s="184"/>
      <x:c r="C72" s="184"/>
      <x:c r="D72" s="184"/>
      <x:c r="E72" s="184"/>
      <x:c r="F72" s="184"/>
      <x:c r="G72" s="184"/>
      <x:c r="H72" s="184"/>
      <x:c r="I72" s="184"/>
      <x:c r="J72" s="184"/>
      <x:c r="K72" s="184"/>
      <x:c r="L72" s="184"/>
      <x:c r="M72" s="184"/>
      <x:c r="N72" s="184"/>
      <x:c r="O72" s="184"/>
      <x:c r="P72" s="184"/>
      <x:c r="Q72" s="184"/>
      <x:c r="R72" s="184"/>
      <x:c r="S72" s="184"/>
      <x:c r="T72" s="184"/>
      <x:c r="U72" s="184"/>
      <x:c r="V72" s="184"/>
    </x:row>
    <x:row r="73">
      <x:c r="A73" s="184"/>
      <x:c r="B73" s="184"/>
      <x:c r="C73" s="184"/>
      <x:c r="D73" s="184"/>
      <x:c r="E73" s="184"/>
      <x:c r="F73" s="184"/>
      <x:c r="G73" s="184"/>
      <x:c r="H73" s="184"/>
      <x:c r="I73" s="184"/>
      <x:c r="J73" s="184"/>
      <x:c r="K73" s="184"/>
      <x:c r="L73" s="184"/>
      <x:c r="M73" s="184"/>
      <x:c r="N73" s="184"/>
      <x:c r="O73" s="184"/>
      <x:c r="P73" s="184"/>
      <x:c r="Q73" s="184"/>
      <x:c r="R73" s="184"/>
      <x:c r="S73" s="184"/>
      <x:c r="T73" s="184"/>
      <x:c r="U73" s="184"/>
      <x:c r="V73" s="184"/>
    </x:row>
    <x:row r="74">
      <x:c r="A74" s="184"/>
      <x:c r="B74" s="184"/>
      <x:c r="C74" s="184"/>
      <x:c r="D74" s="184"/>
      <x:c r="E74" s="184"/>
      <x:c r="F74" s="184"/>
      <x:c r="G74" s="184"/>
      <x:c r="H74" s="184"/>
      <x:c r="I74" s="184"/>
      <x:c r="J74" s="184"/>
      <x:c r="K74" s="184"/>
      <x:c r="L74" s="184"/>
      <x:c r="M74" s="184"/>
      <x:c r="N74" s="184"/>
      <x:c r="O74" s="184"/>
      <x:c r="P74" s="184"/>
      <x:c r="Q74" s="184"/>
      <x:c r="R74" s="184"/>
      <x:c r="S74" s="184"/>
      <x:c r="T74" s="184"/>
      <x:c r="U74" s="184"/>
      <x:c r="V74" s="184"/>
    </x:row>
    <x:row r="75">
      <x:c r="A75" s="184"/>
      <x:c r="B75" s="184"/>
      <x:c r="C75" s="184"/>
      <x:c r="D75" s="184"/>
      <x:c r="E75" s="184"/>
      <x:c r="F75" s="184"/>
      <x:c r="G75" s="184"/>
      <x:c r="H75" s="184"/>
      <x:c r="I75" s="184"/>
      <x:c r="J75" s="184"/>
      <x:c r="K75" s="184"/>
      <x:c r="L75" s="184"/>
      <x:c r="M75" s="184"/>
      <x:c r="N75" s="184"/>
      <x:c r="O75" s="184"/>
      <x:c r="P75" s="184"/>
      <x:c r="Q75" s="184"/>
      <x:c r="R75" s="184"/>
      <x:c r="S75" s="184"/>
      <x:c r="T75" s="184"/>
      <x:c r="U75" s="184"/>
      <x:c r="V75" s="184"/>
    </x:row>
    <x:row r="76">
      <x:c r="A76" s="176" t="str">
        <x:v>审慎情形：热沉衬底细分测算</x:v>
      </x:c>
      <x:c r="B76" s="176"/>
      <x:c r="C76" s="176"/>
      <x:c r="D76" s="176"/>
      <x:c r="E76" s="176"/>
      <x:c r="F76" s="176"/>
      <x:c r="G76" s="176"/>
      <x:c r="H76" s="184"/>
      <x:c r="I76" s="184"/>
      <x:c r="J76" s="184"/>
      <x:c r="K76" s="184"/>
      <x:c r="L76" s="184"/>
      <x:c r="M76" s="184"/>
      <x:c r="N76" s="184"/>
      <x:c r="O76" s="184"/>
      <x:c r="P76" s="184"/>
      <x:c r="Q76" s="184"/>
      <x:c r="R76" s="184"/>
      <x:c r="S76" s="184"/>
      <x:c r="T76" s="184"/>
      <x:c r="U76" s="184"/>
      <x:c r="V76" s="184"/>
    </x:row>
    <x:row r="77">
      <x:c r="A77" s="176" t="str">
        <x:v>测算指标</x:v>
      </x:c>
      <x:c r="B77" s="176" t="str">
        <x:v>单位</x:v>
      </x:c>
      <x:c r="C77" s="176" t="str">
        <x:v>2026E</x:v>
      </x:c>
      <x:c r="D77" s="176" t="str">
        <x:v>2027E</x:v>
      </x:c>
      <x:c r="E77" s="176" t="str">
        <x:v>2028E</x:v>
      </x:c>
      <x:c r="F77" s="176" t="str">
        <x:v>2029E</x:v>
      </x:c>
      <x:c r="G77" s="176" t="str">
        <x:v>2030E</x:v>
      </x:c>
      <x:c r="H77" s="184"/>
      <x:c r="I77" s="184"/>
      <x:c r="J77" s="184"/>
      <x:c r="K77" s="184"/>
      <x:c r="L77" s="184"/>
      <x:c r="M77" s="184"/>
      <x:c r="N77" s="184"/>
      <x:c r="O77" s="184"/>
      <x:c r="P77" s="184"/>
      <x:c r="Q77" s="184"/>
      <x:c r="R77" s="184"/>
      <x:c r="S77" s="184"/>
      <x:c r="T77" s="184"/>
      <x:c r="U77" s="184"/>
      <x:c r="V77" s="184"/>
    </x:row>
    <x:row r="78">
      <x:c r="A78" s="177" t="str">
        <x:v>参考系统需求</x:v>
      </x:c>
      <x:c r="B78" s="177" t="str">
        <x:v>万台</x:v>
      </x:c>
      <x:c r="C78" s="215" t="n">
        <x:f>'机会输入'!E16*'机会输入'!$B$35</x:f>
        <x:v>2</x:v>
      </x:c>
      <x:c r="D78" s="215" t="n">
        <x:f>'机会输入'!F16*'机会输入'!$B$35</x:f>
        <x:v>20</x:v>
      </x:c>
      <x:c r="E78" s="215" t="n">
        <x:f>'机会输入'!G16*'机会输入'!$B$35</x:f>
        <x:v>50</x:v>
      </x:c>
      <x:c r="F78" s="215" t="n">
        <x:f>'机会输入'!H16*'机会输入'!$B$35</x:f>
        <x:v>85</x:v>
      </x:c>
      <x:c r="G78" s="215" t="n">
        <x:f>'机会输入'!I16*'机会输入'!$B$35</x:f>
        <x:v>120</x:v>
      </x:c>
      <x:c r="H78" s="184"/>
      <x:c r="I78" s="184"/>
      <x:c r="J78" s="184"/>
      <x:c r="K78" s="184"/>
      <x:c r="L78" s="184"/>
      <x:c r="M78" s="184"/>
      <x:c r="N78" s="184"/>
      <x:c r="O78" s="184"/>
      <x:c r="P78" s="184"/>
      <x:c r="Q78" s="184"/>
      <x:c r="R78" s="184"/>
      <x:c r="S78" s="184"/>
      <x:c r="T78" s="184"/>
      <x:c r="U78" s="184"/>
      <x:c r="V78" s="184"/>
    </x:row>
    <x:row r="79">
      <x:c r="A79" s="177" t="str">
        <x:v>热沉衬底需求</x:v>
      </x:c>
      <x:c r="B79" s="177" t="str">
        <x:v>万片</x:v>
      </x:c>
      <x:c r="C79" s="216" t="n">
        <x:f>C78*'机会输入'!E25</x:f>
        <x:v>256</x:v>
      </x:c>
      <x:c r="D79" s="216" t="n">
        <x:f>D78*'机会输入'!F25</x:f>
        <x:v>2560</x:v>
      </x:c>
      <x:c r="E79" s="216" t="n">
        <x:f>E78*'机会输入'!G25</x:f>
        <x:v>6400</x:v>
      </x:c>
      <x:c r="F79" s="216" t="n">
        <x:f>F78*'机会输入'!H25</x:f>
        <x:v>10880</x:v>
      </x:c>
      <x:c r="G79" s="216" t="n">
        <x:f>G78*'机会输入'!I25</x:f>
        <x:v>15360</x:v>
      </x:c>
      <x:c r="H79" s="184"/>
      <x:c r="I79" s="184"/>
      <x:c r="J79" s="184"/>
      <x:c r="K79" s="184"/>
      <x:c r="L79" s="184"/>
      <x:c r="M79" s="184"/>
      <x:c r="N79" s="184"/>
      <x:c r="O79" s="184"/>
      <x:c r="P79" s="184"/>
      <x:c r="Q79" s="184"/>
      <x:c r="R79" s="184"/>
      <x:c r="S79" s="184"/>
      <x:c r="T79" s="184"/>
      <x:c r="U79" s="184"/>
      <x:c r="V79" s="184"/>
    </x:row>
    <x:row r="80">
      <x:c r="A80" s="177" t="str">
        <x:v>热沉单价</x:v>
      </x:c>
      <x:c r="B80" s="177" t="str">
        <x:v>元/片</x:v>
      </x:c>
      <x:c r="C80" s="178" t="n">
        <x:f>IF(SUM('规格明细'!G14,'规格明细'!G15)=0,0,SUM('规格明细'!K14,'规格明细'!K15)*100000000/SUM('规格明细'!G14,'规格明细'!G15))*IF(('机会输入'!E26+'机会输入'!E27)=0,0,'机会输入'!E27/('机会输入'!E26+'机会输入'!E27))</x:f>
        <x:v>27.2</x:v>
      </x:c>
      <x:c r="D80" s="178" t="n">
        <x:f>IF(SUM('规格明细'!G26,'规格明细'!G27)=0,0,SUM('规格明细'!K26,'规格明细'!K27)*100000000/SUM('规格明细'!G26,'规格明细'!G27))*IF(('机会输入'!F26+'机会输入'!F27)=0,0,'机会输入'!F27/('机会输入'!F26+'机会输入'!F27))</x:f>
        <x:v>21.760000000000005</x:v>
      </x:c>
      <x:c r="E80" s="178" t="n">
        <x:f>IF(SUM('规格明细'!G38,'规格明细'!G39)=0,0,SUM('规格明细'!K38,'规格明细'!K39)*100000000/SUM('规格明细'!G38,'规格明细'!G39))*IF(('机会输入'!G26+'机会输入'!G27)=0,0,'机会输入'!G27/('机会输入'!G26+'机会输入'!G27))</x:f>
        <x:v>21.5424</x:v>
      </x:c>
      <x:c r="F80" s="178" t="n">
        <x:f>IF(SUM('规格明细'!G50,'规格明细'!G51)=0,0,SUM('规格明细'!K50,'规格明细'!K51)*100000000/SUM('规格明细'!G50,'规格明细'!G51))*IF(('机会输入'!H26+'机会输入'!H27)=0,0,'机会输入'!H27/('机会输入'!H26+'机会输入'!H27))</x:f>
        <x:v>20.48976</x:v>
      </x:c>
      <x:c r="G80" s="178" t="n">
        <x:f>IF(SUM('规格明细'!G62,'规格明细'!G63)=0,0,SUM('规格明细'!K62,'规格明细'!K63)*100000000/SUM('规格明细'!G62,'规格明细'!G63))*IF(('机会输入'!I26+'机会输入'!I27)=0,0,'机会输入'!I27/('机会输入'!I26+'机会输入'!I27))</x:f>
        <x:v>19.035648000000002</x:v>
      </x:c>
      <x:c r="H80" s="184"/>
      <x:c r="I80" s="184"/>
      <x:c r="J80" s="184"/>
      <x:c r="K80" s="184"/>
      <x:c r="L80" s="184"/>
      <x:c r="M80" s="184"/>
      <x:c r="N80" s="184"/>
      <x:c r="O80" s="184"/>
      <x:c r="P80" s="184"/>
      <x:c r="Q80" s="184"/>
      <x:c r="R80" s="184"/>
      <x:c r="S80" s="184"/>
      <x:c r="T80" s="184"/>
      <x:c r="U80" s="184"/>
      <x:c r="V80" s="184"/>
    </x:row>
    <x:row r="81">
      <x:c r="A81" s="177" t="str">
        <x:v>行业热沉组件空间</x:v>
      </x:c>
      <x:c r="B81" s="177" t="str">
        <x:v>亿元</x:v>
      </x:c>
      <x:c r="C81" s="178" t="n">
        <x:f>SUM('规格明细'!K14,'规格明细'!K15)*IF(('机会输入'!E26+'机会输入'!E27)=0,0,'机会输入'!E27/('机会输入'!E26+'机会输入'!E27))</x:f>
        <x:v>0.69632</x:v>
      </x:c>
      <x:c r="D81" s="178" t="n">
        <x:f>SUM('规格明细'!K26,'规格明细'!K27)*IF(('机会输入'!F26+'机会输入'!F27)=0,0,'机会输入'!F27/('机会输入'!F26+'机会输入'!F27))</x:f>
        <x:v>5.570560000000001</x:v>
      </x:c>
      <x:c r="E81" s="178" t="n">
        <x:f>SUM('规格明细'!K38,'规格明细'!K39)*IF(('机会输入'!G26+'机会输入'!G27)=0,0,'机会输入'!G27/('机会输入'!G26+'机会输入'!G27))</x:f>
        <x:v>13.787136</x:v>
      </x:c>
      <x:c r="F81" s="178" t="n">
        <x:f>SUM('规格明细'!K50,'规格明细'!K51)*IF(('机会输入'!H26+'机会输入'!H27)=0,0,'机会输入'!H27/('机会输入'!H26+'机会输入'!H27))</x:f>
        <x:v>22.29285888</x:v>
      </x:c>
      <x:c r="G81" s="178" t="n">
        <x:f>SUM('规格明细'!K62,'规格明细'!K63)*IF(('机会输入'!I26+'机会输入'!I27)=0,0,'机会输入'!I27/('机会输入'!I26+'机会输入'!I27))</x:f>
        <x:v>29.238755328</x:v>
      </x:c>
      <x:c r="H81" s="184"/>
      <x:c r="I81" s="184"/>
      <x:c r="J81" s="184"/>
      <x:c r="K81" s="184"/>
      <x:c r="L81" s="184"/>
      <x:c r="M81" s="184"/>
      <x:c r="N81" s="184"/>
      <x:c r="O81" s="184"/>
      <x:c r="P81" s="184"/>
      <x:c r="Q81" s="184"/>
      <x:c r="R81" s="184"/>
      <x:c r="S81" s="184"/>
      <x:c r="T81" s="184"/>
      <x:c r="U81" s="184"/>
      <x:c r="V81" s="184"/>
    </x:row>
    <x:row r="82">
      <x:c r="A82" s="177" t="str">
        <x:v>公司假设份额</x:v>
      </x:c>
      <x:c r="B82" s="177" t="str">
        <x:v>%</x:v>
      </x:c>
      <x:c r="C82" s="190" t="n">
        <x:f>IF(SUM('规格明细'!K14,'规格明细'!K15)=0,0,SUM('规格明细'!L14,'规格明细'!L15)/SUM('规格明细'!K14,'规格明细'!K15))</x:f>
        <x:v>0.39375</x:v>
      </x:c>
      <x:c r="D82" s="190" t="n">
        <x:f>IF(SUM('规格明细'!K26,'规格明细'!K27)=0,0,SUM('规格明细'!L26,'规格明细'!L27)/SUM('规格明细'!K26,'规格明细'!K27))</x:f>
        <x:v>0.39999999999999997</x:v>
      </x:c>
      <x:c r="E82" s="190" t="n">
        <x:f>IF(SUM('规格明细'!K38,'规格明细'!K39)=0,0,SUM('规格明细'!L38,'规格明细'!L39)/SUM('规格明细'!K38,'规格明细'!K39))</x:f>
        <x:v>0.3876515151515151</x:v>
      </x:c>
      <x:c r="F82" s="190" t="n">
        <x:f>IF(SUM('规格明细'!K50,'规格明细'!K51)=0,0,SUM('规格明细'!L50,'规格明细'!L51)/SUM('规格明细'!K50,'规格明细'!K51))</x:f>
        <x:v>0.40645161290322585</x:v>
      </x:c>
      <x:c r="G82" s="190" t="n">
        <x:f>IF(SUM('规格明细'!K62,'规格明细'!K63)=0,0,SUM('规格明细'!L62,'规格明细'!L63)/SUM('规格明细'!K62,'规格明细'!K63))</x:f>
        <x:v>0.39749999999999996</x:v>
      </x:c>
      <x:c r="H82" s="184"/>
      <x:c r="I82" s="184"/>
      <x:c r="J82" s="184"/>
      <x:c r="K82" s="184"/>
      <x:c r="L82" s="184"/>
      <x:c r="M82" s="184"/>
      <x:c r="N82" s="184"/>
      <x:c r="O82" s="184"/>
      <x:c r="P82" s="184"/>
      <x:c r="Q82" s="184"/>
      <x:c r="R82" s="184"/>
      <x:c r="S82" s="184"/>
      <x:c r="T82" s="184"/>
      <x:c r="U82" s="184"/>
      <x:c r="V82" s="184"/>
    </x:row>
    <x:row r="83">
      <x:c r="A83" s="217" t="str">
        <x:v>公司热沉理论预估收入</x:v>
      </x:c>
      <x:c r="B83" s="217" t="str">
        <x:v>亿元</x:v>
      </x:c>
      <x:c r="C83" s="207" t="n">
        <x:f>SUM('规格明细'!L14,'规格明细'!L15)*IF(('机会输入'!E26+'机会输入'!E27)=0,0,'机会输入'!E27/('机会输入'!E26+'机会输入'!E27))</x:f>
        <x:v>0.27417600000000003</x:v>
      </x:c>
      <x:c r="D83" s="207" t="n">
        <x:f>SUM('规格明细'!L26,'规格明细'!L27)*IF(('机会输入'!F26+'机会输入'!F27)=0,0,'机会输入'!F27/('机会输入'!F26+'机会输入'!F27))</x:f>
        <x:v>2.2282240000000004</x:v>
      </x:c>
      <x:c r="E83" s="207" t="n">
        <x:f>SUM('规格明细'!L38,'规格明细'!L39)*IF(('机会输入'!G26+'机会输入'!G27)=0,0,'机会输入'!G27/('机会输入'!G26+'机会输入'!G27))</x:f>
        <x:v>5.344604159999999</x:v>
      </x:c>
      <x:c r="F83" s="207" t="n">
        <x:f>SUM('规格明细'!L50,'规格明细'!L51)*IF(('机会输入'!H26+'机会输入'!H27)=0,0,'机会输入'!H27/('机会输入'!H26+'机会输入'!H27))</x:f>
        <x:v>9.060968448</x:v>
      </x:c>
      <x:c r="G83" s="207" t="n">
        <x:f>SUM('规格明细'!L62,'规格明细'!L63)*IF(('机会输入'!I26+'机会输入'!I27)=0,0,'机会输入'!I27/('机会输入'!I26+'机会输入'!I27))</x:f>
        <x:v>11.62240524288</x:v>
      </x:c>
      <x:c r="H83" s="184"/>
      <x:c r="I83" s="184"/>
      <x:c r="J83" s="184"/>
      <x:c r="K83" s="184"/>
      <x:c r="L83" s="184"/>
      <x:c r="M83" s="184"/>
      <x:c r="N83" s="184"/>
      <x:c r="O83" s="184"/>
      <x:c r="P83" s="184"/>
      <x:c r="Q83" s="184"/>
      <x:c r="R83" s="184"/>
      <x:c r="S83" s="184"/>
      <x:c r="T83" s="184"/>
      <x:c r="U83" s="184"/>
      <x:c r="V83" s="184"/>
    </x:row>
    <x:row r="84">
      <x:c r="A84" s="184"/>
      <x:c r="B84" s="184"/>
      <x:c r="C84" s="184"/>
      <x:c r="D84" s="184"/>
      <x:c r="E84" s="184"/>
      <x:c r="F84" s="184"/>
      <x:c r="G84" s="184"/>
      <x:c r="H84" s="184"/>
      <x:c r="I84" s="184"/>
      <x:c r="J84" s="184"/>
      <x:c r="K84" s="184"/>
      <x:c r="L84" s="184"/>
      <x:c r="M84" s="184"/>
      <x:c r="N84" s="184"/>
      <x:c r="O84" s="184"/>
      <x:c r="P84" s="184"/>
      <x:c r="Q84" s="184"/>
      <x:c r="R84" s="184"/>
      <x:c r="S84" s="184"/>
      <x:c r="T84" s="184"/>
      <x:c r="U84" s="184"/>
      <x:c r="V84" s="184"/>
    </x:row>
    <x:row r="85">
      <x:c r="A85" s="184"/>
      <x:c r="B85" s="184"/>
      <x:c r="C85" s="184"/>
      <x:c r="D85" s="184"/>
      <x:c r="E85" s="184"/>
      <x:c r="F85" s="184"/>
      <x:c r="G85" s="184"/>
      <x:c r="H85" s="184"/>
      <x:c r="I85" s="184"/>
      <x:c r="J85" s="184"/>
      <x:c r="K85" s="184"/>
      <x:c r="L85" s="184"/>
      <x:c r="M85" s="184"/>
      <x:c r="N85" s="184"/>
      <x:c r="O85" s="184"/>
      <x:c r="P85" s="184"/>
      <x:c r="Q85" s="184"/>
      <x:c r="R85" s="184"/>
      <x:c r="S85" s="184"/>
      <x:c r="T85" s="184"/>
      <x:c r="U85" s="184"/>
      <x:c r="V85" s="184"/>
    </x:row>
    <x:row r="86">
      <x:c r="A86" s="176" t="str">
        <x:v>基准情形：热沉衬底细分测算</x:v>
      </x:c>
      <x:c r="B86" s="176"/>
      <x:c r="C86" s="176"/>
      <x:c r="D86" s="176"/>
      <x:c r="E86" s="176"/>
      <x:c r="F86" s="176"/>
      <x:c r="G86" s="176"/>
      <x:c r="H86" s="184"/>
      <x:c r="I86" s="184"/>
      <x:c r="J86" s="184"/>
      <x:c r="K86" s="184"/>
      <x:c r="L86" s="184"/>
      <x:c r="M86" s="184"/>
      <x:c r="N86" s="184"/>
      <x:c r="O86" s="184"/>
      <x:c r="P86" s="184"/>
      <x:c r="Q86" s="184"/>
      <x:c r="R86" s="184"/>
      <x:c r="S86" s="184"/>
      <x:c r="T86" s="184"/>
      <x:c r="U86" s="184"/>
      <x:c r="V86" s="184"/>
    </x:row>
    <x:row r="87">
      <x:c r="A87" s="176" t="str">
        <x:v>测算指标</x:v>
      </x:c>
      <x:c r="B87" s="176" t="str">
        <x:v>单位</x:v>
      </x:c>
      <x:c r="C87" s="176" t="str">
        <x:v>2026E</x:v>
      </x:c>
      <x:c r="D87" s="176" t="str">
        <x:v>2027E</x:v>
      </x:c>
      <x:c r="E87" s="176" t="str">
        <x:v>2028E</x:v>
      </x:c>
      <x:c r="F87" s="176" t="str">
        <x:v>2029E</x:v>
      </x:c>
      <x:c r="G87" s="176" t="str">
        <x:v>2030E</x:v>
      </x:c>
      <x:c r="H87" s="184"/>
      <x:c r="I87" s="184"/>
      <x:c r="J87" s="184"/>
      <x:c r="K87" s="184"/>
      <x:c r="L87" s="184"/>
      <x:c r="M87" s="184"/>
      <x:c r="N87" s="184"/>
      <x:c r="O87" s="184"/>
      <x:c r="P87" s="184"/>
      <x:c r="Q87" s="184"/>
      <x:c r="R87" s="184"/>
      <x:c r="S87" s="184"/>
      <x:c r="T87" s="184"/>
      <x:c r="U87" s="184"/>
      <x:c r="V87" s="184"/>
    </x:row>
    <x:row r="88">
      <x:c r="A88" s="177" t="str">
        <x:v>参考系统需求</x:v>
      </x:c>
      <x:c r="B88" s="177" t="str">
        <x:v>万台</x:v>
      </x:c>
      <x:c r="C88" s="215" t="n">
        <x:f>'机会输入'!E16*'机会输入'!$B$36</x:f>
        <x:v>2</x:v>
      </x:c>
      <x:c r="D88" s="215" t="n">
        <x:f>'机会输入'!F16*'机会输入'!$B$36</x:f>
        <x:v>20</x:v>
      </x:c>
      <x:c r="E88" s="215" t="n">
        <x:f>'机会输入'!G16*'机会输入'!$B$36</x:f>
        <x:v>50</x:v>
      </x:c>
      <x:c r="F88" s="215" t="n">
        <x:f>'机会输入'!H16*'机会输入'!$B$36</x:f>
        <x:v>85</x:v>
      </x:c>
      <x:c r="G88" s="215" t="n">
        <x:f>'机会输入'!I16*'机会输入'!$B$36</x:f>
        <x:v>120</x:v>
      </x:c>
      <x:c r="H88" s="184"/>
      <x:c r="I88" s="184"/>
      <x:c r="J88" s="184"/>
      <x:c r="K88" s="184"/>
      <x:c r="L88" s="184"/>
      <x:c r="M88" s="184"/>
      <x:c r="N88" s="184"/>
      <x:c r="O88" s="184"/>
      <x:c r="P88" s="184"/>
      <x:c r="Q88" s="184"/>
      <x:c r="R88" s="184"/>
      <x:c r="S88" s="184"/>
      <x:c r="T88" s="184"/>
      <x:c r="U88" s="184"/>
      <x:c r="V88" s="184"/>
    </x:row>
    <x:row r="89">
      <x:c r="A89" s="177" t="str">
        <x:v>热沉衬底需求</x:v>
      </x:c>
      <x:c r="B89" s="177" t="str">
        <x:v>万片</x:v>
      </x:c>
      <x:c r="C89" s="216" t="n">
        <x:f>C88*'机会输入'!E25</x:f>
        <x:v>256</x:v>
      </x:c>
      <x:c r="D89" s="216" t="n">
        <x:f>D88*'机会输入'!F25</x:f>
        <x:v>2560</x:v>
      </x:c>
      <x:c r="E89" s="216" t="n">
        <x:f>E88*'机会输入'!G25</x:f>
        <x:v>6400</x:v>
      </x:c>
      <x:c r="F89" s="216" t="n">
        <x:f>F88*'机会输入'!H25</x:f>
        <x:v>10880</x:v>
      </x:c>
      <x:c r="G89" s="216" t="n">
        <x:f>G88*'机会输入'!I25</x:f>
        <x:v>15360</x:v>
      </x:c>
      <x:c r="H89" s="184"/>
      <x:c r="I89" s="184"/>
      <x:c r="J89" s="184"/>
      <x:c r="K89" s="184"/>
      <x:c r="L89" s="184"/>
      <x:c r="M89" s="184"/>
      <x:c r="N89" s="184"/>
      <x:c r="O89" s="184"/>
      <x:c r="P89" s="184"/>
      <x:c r="Q89" s="184"/>
      <x:c r="R89" s="184"/>
      <x:c r="S89" s="184"/>
      <x:c r="T89" s="184"/>
      <x:c r="U89" s="184"/>
      <x:c r="V89" s="184"/>
    </x:row>
    <x:row r="90">
      <x:c r="A90" s="177" t="str">
        <x:v>热沉单价</x:v>
      </x:c>
      <x:c r="B90" s="177" t="str">
        <x:v>元/片</x:v>
      </x:c>
      <x:c r="C90" s="178" t="n">
        <x:f>IF(SUM('规格明细'!G79,'规格明细'!G80)=0,0,SUM('规格明细'!K79,'规格明细'!K80)*100000000/SUM('规格明细'!G79,'规格明细'!G80))*IF(('机会输入'!E26+'机会输入'!E27)=0,0,'机会输入'!E27/('机会输入'!E26+'机会输入'!E27))</x:f>
        <x:v>32</x:v>
      </x:c>
      <x:c r="D90" s="178" t="n">
        <x:f>IF(SUM('规格明细'!G91,'规格明细'!G92)=0,0,SUM('规格明细'!K91,'规格明细'!K92)*100000000/SUM('规格明细'!G91,'规格明细'!G92))*IF(('机会输入'!F26+'机会输入'!F27)=0,0,'机会输入'!F27/('机会输入'!F26+'机会输入'!F27))</x:f>
        <x:v>25.6</x:v>
      </x:c>
      <x:c r="E90" s="178" t="n">
        <x:f>IF(SUM('规格明细'!G103,'规格明细'!G104)=0,0,SUM('规格明细'!K103,'规格明细'!K104)*100000000/SUM('规格明细'!G103,'规格明细'!G104))*IF(('机会输入'!G26+'机会输入'!G27)=0,0,'机会输入'!G27/('机会输入'!G26+'机会输入'!G27))</x:f>
        <x:v>25.344</x:v>
      </x:c>
      <x:c r="F90" s="178" t="n">
        <x:f>IF(SUM('规格明细'!G115,'规格明细'!G116)=0,0,SUM('规格明细'!K115,'规格明细'!K116)*100000000/SUM('规格明细'!G115,'规格明细'!G116))*IF(('机会输入'!H26+'机会输入'!H27)=0,0,'机会输入'!H27/('机会输入'!H26+'机会输入'!H27))</x:f>
        <x:v>24.1056</x:v>
      </x:c>
      <x:c r="G90" s="178" t="n">
        <x:f>IF(SUM('规格明细'!G127,'规格明细'!G128)=0,0,SUM('规格明细'!K127,'规格明细'!K128)*100000000/SUM('规格明细'!G127,'规格明细'!G128))*IF(('机会输入'!I26+'机会输入'!I27)=0,0,'机会输入'!I27/('机会输入'!I26+'机会输入'!I27))</x:f>
        <x:v>22.39488</x:v>
      </x:c>
      <x:c r="H90" s="184"/>
      <x:c r="I90" s="184"/>
      <x:c r="J90" s="184"/>
      <x:c r="K90" s="184"/>
      <x:c r="L90" s="184"/>
      <x:c r="M90" s="184"/>
      <x:c r="N90" s="184"/>
      <x:c r="O90" s="184"/>
      <x:c r="P90" s="184"/>
      <x:c r="Q90" s="184"/>
      <x:c r="R90" s="184"/>
      <x:c r="S90" s="184"/>
      <x:c r="T90" s="184"/>
      <x:c r="U90" s="184"/>
      <x:c r="V90" s="184"/>
    </x:row>
    <x:row r="91">
      <x:c r="A91" s="177" t="str">
        <x:v>行业热沉组件空间</x:v>
      </x:c>
      <x:c r="B91" s="177" t="str">
        <x:v>亿元</x:v>
      </x:c>
      <x:c r="C91" s="178" t="n">
        <x:f>SUM('规格明细'!K79,'规格明细'!K80)*IF(('机会输入'!E26+'机会输入'!E27)=0,0,'机会输入'!E27/('机会输入'!E26+'机会输入'!E27))</x:f>
        <x:v>0.8192</x:v>
      </x:c>
      <x:c r="D91" s="178" t="n">
        <x:f>SUM('规格明细'!K91,'规格明细'!K92)*IF(('机会输入'!F26+'机会输入'!F27)=0,0,'机会输入'!F27/('机会输入'!F26+'机会输入'!F27))</x:f>
        <x:v>6.5536</x:v>
      </x:c>
      <x:c r="E91" s="178" t="n">
        <x:f>SUM('规格明细'!K103,'规格明细'!K104)*IF(('机会输入'!G26+'机会输入'!G27)=0,0,'机会输入'!G27/('机会输入'!G26+'机会输入'!G27))</x:f>
        <x:v>16.22016</x:v>
      </x:c>
      <x:c r="F91" s="178" t="n">
        <x:f>SUM('规格明细'!K115,'规格明细'!K116)*IF(('机会输入'!H26+'机会输入'!H27)=0,0,'机会输入'!H27/('机会输入'!H26+'机会输入'!H27))</x:f>
        <x:v>26.2268928</x:v>
      </x:c>
      <x:c r="G91" s="178" t="n">
        <x:f>SUM('规格明细'!K127,'规格明细'!K128)*IF(('机会输入'!I26+'机会输入'!I27)=0,0,'机会输入'!I27/('机会输入'!I26+'机会输入'!I27))</x:f>
        <x:v>34.39853568</x:v>
      </x:c>
      <x:c r="H91" s="184"/>
      <x:c r="I91" s="184"/>
      <x:c r="J91" s="184"/>
      <x:c r="K91" s="184"/>
      <x:c r="L91" s="184"/>
      <x:c r="M91" s="184"/>
      <x:c r="N91" s="184"/>
      <x:c r="O91" s="184"/>
      <x:c r="P91" s="184"/>
      <x:c r="Q91" s="184"/>
      <x:c r="R91" s="184"/>
      <x:c r="S91" s="184"/>
      <x:c r="T91" s="184"/>
      <x:c r="U91" s="184"/>
      <x:c r="V91" s="184"/>
    </x:row>
    <x:row r="92">
      <x:c r="A92" s="177" t="str">
        <x:v>公司假设份额</x:v>
      </x:c>
      <x:c r="B92" s="177" t="str">
        <x:v>%</x:v>
      </x:c>
      <x:c r="C92" s="190" t="n">
        <x:f>IF(SUM('规格明细'!K79,'规格明细'!K80)=0,0,SUM('规格明细'!L79,'规格明细'!L80)/SUM('规格明细'!K79,'规格明细'!K80))</x:f>
        <x:v>0.45</x:v>
      </x:c>
      <x:c r="D92" s="190" t="n">
        <x:f>IF(SUM('规格明细'!K91,'规格明细'!K92)=0,0,SUM('规格明细'!L91,'规格明细'!L92)/SUM('规格明细'!K91,'规格明细'!K92))</x:f>
        <x:v>0.45</x:v>
      </x:c>
      <x:c r="E92" s="190" t="n">
        <x:f>IF(SUM('规格明细'!K103,'规格明细'!K104)=0,0,SUM('规格明细'!L103,'规格明细'!L104)/SUM('规格明细'!K103,'规格明细'!K104))</x:f>
        <x:v>0.45606060606060606</x:v>
      </x:c>
      <x:c r="F92" s="190" t="n">
        <x:f>IF(SUM('规格明细'!K115,'规格明细'!K116)=0,0,SUM('规格明细'!L115,'规格明细'!L116)/SUM('规格明细'!K115,'规格明细'!K116))</x:f>
        <x:v>0.4516129032258065</x:v>
      </x:c>
      <x:c r="G92" s="190" t="n">
        <x:f>IF(SUM('规格明细'!K127,'规格明细'!K128)=0,0,SUM('规格明细'!L127,'规格明细'!L128)/SUM('规格明细'!K127,'规格明细'!K128))</x:f>
        <x:v>0.44166666666666665</x:v>
      </x:c>
      <x:c r="H92" s="184"/>
      <x:c r="I92" s="184"/>
      <x:c r="J92" s="184"/>
      <x:c r="K92" s="184"/>
      <x:c r="L92" s="184"/>
      <x:c r="M92" s="184"/>
      <x:c r="N92" s="184"/>
      <x:c r="O92" s="184"/>
      <x:c r="P92" s="184"/>
      <x:c r="Q92" s="184"/>
      <x:c r="R92" s="184"/>
      <x:c r="S92" s="184"/>
      <x:c r="T92" s="184"/>
      <x:c r="U92" s="184"/>
      <x:c r="V92" s="184"/>
    </x:row>
    <x:row r="93">
      <x:c r="A93" s="217" t="str">
        <x:v>公司热沉理论预估收入</x:v>
      </x:c>
      <x:c r="B93" s="217" t="str">
        <x:v>亿元</x:v>
      </x:c>
      <x:c r="C93" s="207" t="n">
        <x:f>SUM('规格明细'!L79,'规格明细'!L80)*IF(('机会输入'!E26+'机会输入'!E27)=0,0,'机会输入'!E27/('机会输入'!E26+'机会输入'!E27))</x:f>
        <x:v>0.36864</x:v>
      </x:c>
      <x:c r="D93" s="207" t="n">
        <x:f>SUM('规格明细'!L91,'规格明细'!L92)*IF(('机会输入'!F26+'机会输入'!F27)=0,0,'机会输入'!F27/('机会输入'!F26+'机会输入'!F27))</x:f>
        <x:v>2.94912</x:v>
      </x:c>
      <x:c r="E93" s="207" t="n">
        <x:f>SUM('规格明细'!L103,'规格明细'!L104)*IF(('机会输入'!G26+'机会输入'!G27)=0,0,'机会输入'!G27/('机会输入'!G26+'机会输入'!G27))</x:f>
        <x:v>7.3973759999999995</x:v>
      </x:c>
      <x:c r="F93" s="207" t="n">
        <x:f>SUM('规格明细'!L115,'规格明细'!L116)*IF(('机会输入'!H26+'机会输入'!H27)=0,0,'机会输入'!H27/('机会输入'!H26+'机会输入'!H27))</x:f>
        <x:v>11.844403200000002</x:v>
      </x:c>
      <x:c r="G93" s="207" t="n">
        <x:f>SUM('规格明细'!L127,'规格明细'!L128)*IF(('机会输入'!I26+'机会输入'!I27)=0,0,'机会输入'!I27/('机会输入'!I26+'机会输入'!I27))</x:f>
        <x:v>15.192686592000001</x:v>
      </x:c>
      <x:c r="H93" s="184"/>
      <x:c r="I93" s="184"/>
      <x:c r="J93" s="184"/>
      <x:c r="K93" s="184"/>
      <x:c r="L93" s="184"/>
      <x:c r="M93" s="184"/>
      <x:c r="N93" s="184"/>
      <x:c r="O93" s="184"/>
      <x:c r="P93" s="184"/>
      <x:c r="Q93" s="184"/>
      <x:c r="R93" s="184"/>
      <x:c r="S93" s="184"/>
      <x:c r="T93" s="184"/>
      <x:c r="U93" s="184"/>
      <x:c r="V93" s="184"/>
    </x:row>
    <x:row r="94">
      <x:c r="A94" s="184"/>
      <x:c r="B94" s="184"/>
      <x:c r="C94" s="184"/>
      <x:c r="D94" s="184"/>
      <x:c r="E94" s="184"/>
      <x:c r="F94" s="184"/>
      <x:c r="G94" s="184"/>
      <x:c r="H94" s="184"/>
      <x:c r="I94" s="184"/>
      <x:c r="J94" s="184"/>
      <x:c r="K94" s="184"/>
      <x:c r="L94" s="184"/>
      <x:c r="M94" s="184"/>
      <x:c r="N94" s="184"/>
      <x:c r="O94" s="184"/>
      <x:c r="P94" s="184"/>
      <x:c r="Q94" s="184"/>
      <x:c r="R94" s="184"/>
      <x:c r="S94" s="184"/>
      <x:c r="T94" s="184"/>
      <x:c r="U94" s="184"/>
      <x:c r="V94" s="184"/>
    </x:row>
    <x:row r="95">
      <x:c r="A95" s="184"/>
      <x:c r="B95" s="184"/>
      <x:c r="C95" s="184"/>
      <x:c r="D95" s="184"/>
      <x:c r="E95" s="184"/>
      <x:c r="F95" s="184"/>
      <x:c r="G95" s="184"/>
      <x:c r="H95" s="184"/>
      <x:c r="I95" s="184"/>
      <x:c r="J95" s="184"/>
      <x:c r="K95" s="184"/>
      <x:c r="L95" s="184"/>
      <x:c r="M95" s="184"/>
      <x:c r="N95" s="184"/>
      <x:c r="O95" s="184"/>
      <x:c r="P95" s="184"/>
      <x:c r="Q95" s="184"/>
      <x:c r="R95" s="184"/>
      <x:c r="S95" s="184"/>
      <x:c r="T95" s="184"/>
      <x:c r="U95" s="184"/>
      <x:c r="V95" s="184"/>
    </x:row>
    <x:row r="96">
      <x:c r="A96" s="176" t="str">
        <x:v>乐观情形：热沉衬底细分测算</x:v>
      </x:c>
      <x:c r="B96" s="176"/>
      <x:c r="C96" s="176"/>
      <x:c r="D96" s="176"/>
      <x:c r="E96" s="176"/>
      <x:c r="F96" s="176"/>
      <x:c r="G96" s="176"/>
      <x:c r="H96" s="184"/>
      <x:c r="I96" s="184"/>
      <x:c r="J96" s="184"/>
      <x:c r="K96" s="184"/>
      <x:c r="L96" s="184"/>
      <x:c r="M96" s="184"/>
      <x:c r="N96" s="184"/>
      <x:c r="O96" s="184"/>
      <x:c r="P96" s="184"/>
      <x:c r="Q96" s="184"/>
      <x:c r="R96" s="184"/>
      <x:c r="S96" s="184"/>
      <x:c r="T96" s="184"/>
      <x:c r="U96" s="184"/>
      <x:c r="V96" s="184"/>
    </x:row>
    <x:row r="97">
      <x:c r="A97" s="176" t="str">
        <x:v>测算指标</x:v>
      </x:c>
      <x:c r="B97" s="176" t="str">
        <x:v>单位</x:v>
      </x:c>
      <x:c r="C97" s="176" t="str">
        <x:v>2026E</x:v>
      </x:c>
      <x:c r="D97" s="176" t="str">
        <x:v>2027E</x:v>
      </x:c>
      <x:c r="E97" s="176" t="str">
        <x:v>2028E</x:v>
      </x:c>
      <x:c r="F97" s="176" t="str">
        <x:v>2029E</x:v>
      </x:c>
      <x:c r="G97" s="176" t="str">
        <x:v>2030E</x:v>
      </x:c>
      <x:c r="H97" s="184"/>
      <x:c r="I97" s="184"/>
      <x:c r="J97" s="184"/>
      <x:c r="K97" s="184"/>
      <x:c r="L97" s="184"/>
      <x:c r="M97" s="184"/>
      <x:c r="N97" s="184"/>
      <x:c r="O97" s="184"/>
      <x:c r="P97" s="184"/>
      <x:c r="Q97" s="184"/>
      <x:c r="R97" s="184"/>
      <x:c r="S97" s="184"/>
      <x:c r="T97" s="184"/>
      <x:c r="U97" s="184"/>
      <x:c r="V97" s="184"/>
    </x:row>
    <x:row r="98">
      <x:c r="A98" s="177" t="str">
        <x:v>参考系统需求</x:v>
      </x:c>
      <x:c r="B98" s="177" t="str">
        <x:v>万台</x:v>
      </x:c>
      <x:c r="C98" s="215" t="n">
        <x:f>'机会输入'!E16*'机会输入'!$B$37</x:f>
        <x:v>2</x:v>
      </x:c>
      <x:c r="D98" s="215" t="n">
        <x:f>'机会输入'!F16*'机会输入'!$B$37</x:f>
        <x:v>20</x:v>
      </x:c>
      <x:c r="E98" s="215" t="n">
        <x:f>'机会输入'!G16*'机会输入'!$B$37</x:f>
        <x:v>50</x:v>
      </x:c>
      <x:c r="F98" s="215" t="n">
        <x:f>'机会输入'!H16*'机会输入'!$B$37</x:f>
        <x:v>85</x:v>
      </x:c>
      <x:c r="G98" s="215" t="n">
        <x:f>'机会输入'!I16*'机会输入'!$B$37</x:f>
        <x:v>120</x:v>
      </x:c>
      <x:c r="H98" s="184"/>
      <x:c r="I98" s="184"/>
      <x:c r="J98" s="184"/>
      <x:c r="K98" s="184"/>
      <x:c r="L98" s="184"/>
      <x:c r="M98" s="184"/>
      <x:c r="N98" s="184"/>
      <x:c r="O98" s="184"/>
      <x:c r="P98" s="184"/>
      <x:c r="Q98" s="184"/>
      <x:c r="R98" s="184"/>
      <x:c r="S98" s="184"/>
      <x:c r="T98" s="184"/>
      <x:c r="U98" s="184"/>
      <x:c r="V98" s="184"/>
    </x:row>
    <x:row r="99">
      <x:c r="A99" s="177" t="str">
        <x:v>热沉衬底需求</x:v>
      </x:c>
      <x:c r="B99" s="177" t="str">
        <x:v>万片</x:v>
      </x:c>
      <x:c r="C99" s="216" t="n">
        <x:f>C98*'机会输入'!E25</x:f>
        <x:v>256</x:v>
      </x:c>
      <x:c r="D99" s="216" t="n">
        <x:f>D98*'机会输入'!F25</x:f>
        <x:v>2560</x:v>
      </x:c>
      <x:c r="E99" s="216" t="n">
        <x:f>E98*'机会输入'!G25</x:f>
        <x:v>6400</x:v>
      </x:c>
      <x:c r="F99" s="216" t="n">
        <x:f>F98*'机会输入'!H25</x:f>
        <x:v>10880</x:v>
      </x:c>
      <x:c r="G99" s="216" t="n">
        <x:f>G98*'机会输入'!I25</x:f>
        <x:v>15360</x:v>
      </x:c>
      <x:c r="H99" s="184"/>
      <x:c r="I99" s="184"/>
      <x:c r="J99" s="184"/>
      <x:c r="K99" s="184"/>
      <x:c r="L99" s="184"/>
      <x:c r="M99" s="184"/>
      <x:c r="N99" s="184"/>
      <x:c r="O99" s="184"/>
      <x:c r="P99" s="184"/>
      <x:c r="Q99" s="184"/>
      <x:c r="R99" s="184"/>
      <x:c r="S99" s="184"/>
      <x:c r="T99" s="184"/>
      <x:c r="U99" s="184"/>
      <x:c r="V99" s="184"/>
    </x:row>
    <x:row r="100">
      <x:c r="A100" s="177" t="str">
        <x:v>热沉单价</x:v>
      </x:c>
      <x:c r="B100" s="177" t="str">
        <x:v>元/片</x:v>
      </x:c>
      <x:c r="C100" s="178" t="n">
        <x:f>IF(SUM('规格明细'!G144,'规格明细'!G145)=0,0,SUM('规格明细'!K144,'规格明细'!K145)*100000000/SUM('规格明细'!G144,'规格明细'!G145))*IF(('机会输入'!E26+'机会输入'!E27)=0,0,'机会输入'!E27/('机会输入'!E26+'机会输入'!E27))</x:f>
        <x:v>35.2</x:v>
      </x:c>
      <x:c r="D100" s="178" t="n">
        <x:f>IF(SUM('规格明细'!G156,'规格明细'!G157)=0,0,SUM('规格明细'!K156,'规格明细'!K157)*100000000/SUM('规格明细'!G156,'规格明细'!G157))*IF(('机会输入'!F26+'机会输入'!F27)=0,0,'机会输入'!F27/('机会输入'!F26+'机会输入'!F27))</x:f>
        <x:v>28.160000000000004</x:v>
      </x:c>
      <x:c r="E100" s="178" t="n">
        <x:f>IF(SUM('规格明细'!G168,'规格明细'!G169)=0,0,SUM('规格明细'!K168,'规格明细'!K169)*100000000/SUM('规格明细'!G168,'规格明细'!G169))*IF(('机会输入'!G26+'机会输入'!G27)=0,0,'机会输入'!G27/('机会输入'!G26+'机会输入'!G27))</x:f>
        <x:v>27.878400000000003</x:v>
      </x:c>
      <x:c r="F100" s="178" t="n">
        <x:f>IF(SUM('规格明细'!G180,'规格明细'!G181)=0,0,SUM('规格明细'!K180,'规格明细'!K181)*100000000/SUM('规格明细'!G180,'规格明细'!G181))*IF(('机会输入'!H26+'机会输入'!H27)=0,0,'机会输入'!H27/('机会输入'!H26+'机会输入'!H27))</x:f>
        <x:v>26.516159999999996</x:v>
      </x:c>
      <x:c r="G100" s="178" t="n">
        <x:f>IF(SUM('规格明细'!G192,'规格明细'!G193)=0,0,SUM('规格明细'!K192,'规格明细'!K193)*100000000/SUM('规格明细'!G192,'规格明细'!G193))*IF(('机会输入'!I26+'机会输入'!I27)=0,0,'机会输入'!I27/('机会输入'!I26+'机会输入'!I27))</x:f>
        <x:v>24.634368</x:v>
      </x:c>
      <x:c r="H100" s="184"/>
      <x:c r="I100" s="184"/>
      <x:c r="J100" s="184"/>
      <x:c r="K100" s="184"/>
      <x:c r="L100" s="184"/>
      <x:c r="M100" s="184"/>
      <x:c r="N100" s="184"/>
      <x:c r="O100" s="184"/>
      <x:c r="P100" s="184"/>
      <x:c r="Q100" s="184"/>
      <x:c r="R100" s="184"/>
      <x:c r="S100" s="184"/>
      <x:c r="T100" s="184"/>
      <x:c r="U100" s="184"/>
      <x:c r="V100" s="184"/>
    </x:row>
    <x:row r="101">
      <x:c r="A101" s="177" t="str">
        <x:v>行业热沉组件空间</x:v>
      </x:c>
      <x:c r="B101" s="177" t="str">
        <x:v>亿元</x:v>
      </x:c>
      <x:c r="C101" s="178" t="n">
        <x:f>SUM('规格明细'!K144,'规格明细'!K145)*IF(('机会输入'!E26+'机会输入'!E27)=0,0,'机会输入'!E27/('机会输入'!E26+'机会输入'!E27))</x:f>
        <x:v>0.90112</x:v>
      </x:c>
      <x:c r="D101" s="178" t="n">
        <x:f>SUM('规格明细'!K156,'规格明细'!K157)*IF(('机会输入'!F26+'机会输入'!F27)=0,0,'机会输入'!F27/('机会输入'!F26+'机会输入'!F27))</x:f>
        <x:v>7.208960000000001</x:v>
      </x:c>
      <x:c r="E101" s="178" t="n">
        <x:f>SUM('规格明细'!K168,'规格明细'!K169)*IF(('机会输入'!G26+'机会输入'!G27)=0,0,'机会输入'!G27/('机会输入'!G26+'机会输入'!G27))</x:f>
        <x:v>17.842176000000002</x:v>
      </x:c>
      <x:c r="F101" s="178" t="n">
        <x:f>SUM('规格明细'!K180,'规格明细'!K181)*IF(('机会输入'!H26+'机会输入'!H27)=0,0,'机会输入'!H27/('机会输入'!H26+'机会输入'!H27))</x:f>
        <x:v>28.849582079999998</x:v>
      </x:c>
      <x:c r="G101" s="178" t="n">
        <x:f>SUM('规格明细'!K192,'规格明细'!K193)*IF(('机会输入'!I26+'机会输入'!I27)=0,0,'机会输入'!I27/('机会输入'!I26+'机会输入'!I27))</x:f>
        <x:v>37.838389248</x:v>
      </x:c>
      <x:c r="H101" s="184"/>
      <x:c r="I101" s="184"/>
      <x:c r="J101" s="184"/>
      <x:c r="K101" s="184"/>
      <x:c r="L101" s="184"/>
      <x:c r="M101" s="184"/>
      <x:c r="N101" s="184"/>
      <x:c r="O101" s="184"/>
      <x:c r="P101" s="184"/>
      <x:c r="Q101" s="184"/>
      <x:c r="R101" s="184"/>
      <x:c r="S101" s="184"/>
      <x:c r="T101" s="184"/>
      <x:c r="U101" s="184"/>
      <x:c r="V101" s="184"/>
    </x:row>
    <x:row r="102">
      <x:c r="A102" s="177" t="str">
        <x:v>公司假设份额</x:v>
      </x:c>
      <x:c r="B102" s="177" t="str">
        <x:v>%</x:v>
      </x:c>
      <x:c r="C102" s="190" t="n">
        <x:f>IF(SUM('规格明细'!K144,'规格明细'!K145)=0,0,SUM('规格明细'!L144,'规格明细'!L145)/SUM('规格明细'!K144,'规格明细'!K145))</x:f>
        <x:v>0.50625</x:v>
      </x:c>
      <x:c r="D102" s="190" t="n">
        <x:f>IF(SUM('规格明细'!K156,'规格明细'!K157)=0,0,SUM('规格明细'!L156,'规格明细'!L157)/SUM('规格明细'!K156,'规格明细'!K157))</x:f>
        <x:v>0.5</x:v>
      </x:c>
      <x:c r="E102" s="190" t="n">
        <x:f>IF(SUM('规格明细'!K168,'规格明细'!K169)=0,0,SUM('规格明细'!L168,'规格明细'!L169)/SUM('规格明细'!K168,'规格明细'!K169))</x:f>
        <x:v>0.5016666666666667</x:v>
      </x:c>
      <x:c r="F102" s="190" t="n">
        <x:f>IF(SUM('规格明细'!K180,'规格明细'!K181)=0,0,SUM('规格明细'!L180,'规格明细'!L181)/SUM('规格明细'!K180,'规格明细'!K181))</x:f>
        <x:v>0.4967741935483872</x:v>
      </x:c>
      <x:c r="G102" s="190" t="n">
        <x:f>IF(SUM('规格明细'!K192,'规格明细'!K193)=0,0,SUM('规格明细'!L192,'规格明细'!L193)/SUM('规格明细'!K192,'规格明细'!K193))</x:f>
        <x:v>0.4858333333333334</x:v>
      </x:c>
      <x:c r="H102" s="184"/>
      <x:c r="I102" s="184"/>
      <x:c r="J102" s="184"/>
      <x:c r="K102" s="184"/>
      <x:c r="L102" s="184"/>
      <x:c r="M102" s="184"/>
      <x:c r="N102" s="184"/>
      <x:c r="O102" s="184"/>
      <x:c r="P102" s="184"/>
      <x:c r="Q102" s="184"/>
      <x:c r="R102" s="184"/>
      <x:c r="S102" s="184"/>
      <x:c r="T102" s="184"/>
      <x:c r="U102" s="184"/>
      <x:c r="V102" s="184"/>
    </x:row>
    <x:row r="103">
      <x:c r="A103" s="217" t="str">
        <x:v>公司热沉理论预估收入</x:v>
      </x:c>
      <x:c r="B103" s="217" t="str">
        <x:v>亿元</x:v>
      </x:c>
      <x:c r="C103" s="207" t="n">
        <x:f>SUM('规格明细'!L144,'规格明细'!L145)*IF(('机会输入'!E26+'机会输入'!E27)=0,0,'机会输入'!E27/('机会输入'!E26+'机会输入'!E27))</x:f>
        <x:v>0.456192</x:v>
      </x:c>
      <x:c r="D103" s="207" t="n">
        <x:f>SUM('规格明细'!L156,'规格明细'!L157)*IF(('机会输入'!F26+'机会输入'!F27)=0,0,'机会输入'!F27/('机会输入'!F26+'机会输入'!F27))</x:f>
        <x:v>3.6044800000000006</x:v>
      </x:c>
      <x:c r="E103" s="207" t="n">
        <x:f>SUM('规格明细'!L168,'规格明细'!L169)*IF(('机会输入'!G26+'机会输入'!G27)=0,0,'机会输入'!G27/('机会输入'!G26+'机会输入'!G27))</x:f>
        <x:v>8.950824960000002</x:v>
      </x:c>
      <x:c r="F103" s="207" t="n">
        <x:f>SUM('规格明细'!L180,'规格明细'!L181)*IF(('机会输入'!H26+'机会输入'!H27)=0,0,'机会输入'!H27/('机会输入'!H26+'机会输入'!H27))</x:f>
        <x:v>14.331727872000002</x:v>
      </x:c>
      <x:c r="G103" s="207" t="n">
        <x:f>SUM('规格明细'!L192,'规格明细'!L193)*IF(('机会输入'!I26+'机会输入'!I27)=0,0,'机会输入'!I27/('机会输入'!I26+'机会输入'!I27))</x:f>
        <x:v>18.38315077632</x:v>
      </x:c>
      <x:c r="H103" s="184"/>
      <x:c r="I103" s="184"/>
      <x:c r="J103" s="184"/>
      <x:c r="K103" s="184"/>
      <x:c r="L103" s="184"/>
      <x:c r="M103" s="184"/>
      <x:c r="N103" s="184"/>
      <x:c r="O103" s="184"/>
      <x:c r="P103" s="184"/>
      <x:c r="Q103" s="184"/>
      <x:c r="R103" s="184"/>
      <x:c r="S103" s="184"/>
      <x:c r="T103" s="184"/>
      <x:c r="U103" s="184"/>
      <x:c r="V103" s="184"/>
    </x:row>
    <x:row r="104">
      <x:c r="A104" s="184"/>
      <x:c r="B104" s="184"/>
      <x:c r="C104" s="184"/>
      <x:c r="D104" s="184"/>
      <x:c r="E104" s="184"/>
      <x:c r="F104" s="184"/>
      <x:c r="G104" s="184"/>
      <x:c r="H104" s="184"/>
      <x:c r="I104" s="184"/>
      <x:c r="J104" s="184"/>
      <x:c r="K104" s="184"/>
      <x:c r="L104" s="184"/>
      <x:c r="M104" s="184"/>
      <x:c r="N104" s="184"/>
      <x:c r="O104" s="184"/>
      <x:c r="P104" s="184"/>
      <x:c r="Q104" s="184"/>
      <x:c r="R104" s="184"/>
      <x:c r="S104" s="184"/>
      <x:c r="T104" s="184"/>
      <x:c r="U104" s="184"/>
      <x:c r="V104" s="184"/>
    </x:row>
    <x:row r="105" ht="40" customHeight="1">
      <x:c r="A105" s="198" t="str">
        <x:v>热沉为ELS透镜＋热沉产品线的细分项，已包含在七条产品线合计内。每系统128颗CW激光芯片、每颗1片衬底；102.4T和204.8T分别计价、份额分规格计算。热沉按其在透镜＋热沉初价中的比例拆分，组件量与空间按规格汇总。来源：华鑫AI研究测算、公司AMC官网及2026年8月募投可研。</x:v>
      </x:c>
      <x:c r="B105" s="198"/>
      <x:c r="C105" s="198"/>
      <x:c r="D105" s="198"/>
      <x:c r="E105" s="198"/>
      <x:c r="F105" s="198"/>
      <x:c r="G105" s="198"/>
      <x:c r="H105" s="198"/>
      <x:c r="I105" s="198"/>
      <x:c r="J105" s="198"/>
      <x:c r="K105" s="198"/>
      <x:c r="L105" s="198"/>
      <x:c r="M105" s="198"/>
      <x:c r="N105" s="198"/>
      <x:c r="O105" s="198"/>
      <x:c r="P105" s="198"/>
      <x:c r="Q105" s="198"/>
      <x:c r="R105" s="198"/>
      <x:c r="S105" s="198"/>
      <x:c r="T105" s="198"/>
      <x:c r="U105" s="198"/>
      <x:c r="V105" s="184"/>
    </x:row>
    <x:row r="106">
      <x:c r="A106" s="184"/>
      <x:c r="B106" s="184"/>
      <x:c r="C106" s="184"/>
      <x:c r="D106" s="184"/>
      <x:c r="E106" s="184"/>
      <x:c r="F106" s="184"/>
      <x:c r="G106" s="184"/>
      <x:c r="H106" s="184"/>
      <x:c r="I106" s="184"/>
      <x:c r="J106" s="184"/>
      <x:c r="K106" s="184"/>
      <x:c r="L106" s="184"/>
      <x:c r="M106" s="184"/>
      <x:c r="N106" s="184"/>
      <x:c r="O106" s="184"/>
      <x:c r="P106" s="184"/>
      <x:c r="Q106" s="184"/>
      <x:c r="R106" s="184"/>
      <x:c r="S106" s="184"/>
      <x:c r="T106" s="184"/>
      <x:c r="U106" s="184"/>
      <x:c r="V106" s="184"/>
    </x:row>
    <x:row r="107">
      <x:c r="A107" s="184"/>
      <x:c r="B107" s="184"/>
      <x:c r="C107" s="184"/>
      <x:c r="D107" s="184"/>
      <x:c r="E107" s="184"/>
      <x:c r="F107" s="184"/>
      <x:c r="G107" s="184"/>
      <x:c r="H107" s="184"/>
      <x:c r="I107" s="184"/>
      <x:c r="J107" s="184"/>
      <x:c r="K107" s="184"/>
      <x:c r="L107" s="184"/>
      <x:c r="M107" s="184"/>
      <x:c r="N107" s="184"/>
      <x:c r="O107" s="184"/>
      <x:c r="P107" s="184"/>
      <x:c r="Q107" s="184"/>
      <x:c r="R107" s="184"/>
      <x:c r="S107" s="184"/>
      <x:c r="T107" s="184"/>
      <x:c r="U107" s="184"/>
      <x:c r="V107" s="184"/>
    </x:row>
    <x:row r="108">
      <x:c r="A108" s="184"/>
      <x:c r="B108" s="184"/>
      <x:c r="C108" s="184"/>
      <x:c r="D108" s="184"/>
      <x:c r="E108" s="184"/>
      <x:c r="F108" s="184"/>
      <x:c r="G108" s="184"/>
      <x:c r="H108" s="184"/>
      <x:c r="I108" s="184"/>
      <x:c r="J108" s="184"/>
      <x:c r="K108" s="184"/>
      <x:c r="L108" s="184"/>
      <x:c r="M108" s="184"/>
      <x:c r="N108" s="184"/>
      <x:c r="O108" s="184"/>
      <x:c r="P108" s="184"/>
      <x:c r="Q108" s="184"/>
      <x:c r="R108" s="184"/>
      <x:c r="S108" s="184"/>
      <x:c r="T108" s="184"/>
      <x:c r="U108" s="184"/>
      <x:c r="V108" s="189" t="str">
        <x:v> </x:v>
      </x:c>
    </x:row>
  </x:sheetData>
  <x:mergeCells>
    <x:mergeCell ref="A1:U1"/>
    <x:mergeCell ref="A2:U2"/>
    <x:mergeCell ref="E3:I3"/>
    <x:mergeCell ref="K3:O3"/>
    <x:mergeCell ref="Q3:U3"/>
    <x:mergeCell ref="A15:A16"/>
    <x:mergeCell ref="B15:F15"/>
    <x:mergeCell ref="G15:K15"/>
    <x:mergeCell ref="L15:P15"/>
    <x:mergeCell ref="A25:P25"/>
    <x:mergeCell ref="A35:U35"/>
    <x:mergeCell ref="A41:L41"/>
    <x:mergeCell ref="A51:L51"/>
    <x:mergeCell ref="A61:L61"/>
    <x:mergeCell ref="A76:G76"/>
    <x:mergeCell ref="A86:G86"/>
    <x:mergeCell ref="A96:G96"/>
    <x:mergeCell ref="A105:U10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48" hidden="0" customWidth="1"/>
  </x:cols>
  <x:sheetData>
    <x:row r="1" ht="32" customHeight="1">
      <x:c r="A1" s="172" t="str">
        <x:v>合并业绩预测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172"/>
      <x:c r="Q1" s="172"/>
      <x:c r="R1" s="184"/>
    </x:row>
    <x:row r="2" ht="28" customHeight="1">
      <x:c r="A2" s="174" t="str">
        <x:v>行业组件空间×公司份额＝理论预估收入；理论预估收入×收入兑现率＝光通信收入；加上其他业务形成公司收入。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174"/>
      <x:c r="Q2" s="174"/>
      <x:c r="R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  <x:c r="J3" s="184"/>
      <x:c r="K3" s="184"/>
      <x:c r="L3" s="184"/>
      <x:c r="M3" s="184"/>
      <x:c r="N3" s="184"/>
      <x:c r="O3" s="184"/>
      <x:c r="P3" s="184"/>
      <x:c r="Q3" s="184"/>
      <x:c r="R3" s="184"/>
    </x:row>
    <x:row r="4">
      <x:c r="A4" s="176" t="str">
        <x:v>应用分部</x:v>
      </x:c>
      <x:c r="B4" s="176" t="str">
        <x:v>2026E收入</x:v>
      </x:c>
      <x:c r="C4" s="176" t="str">
        <x:v>2027E收入</x:v>
      </x:c>
      <x:c r="D4" s="176" t="str">
        <x:v>2028E收入</x:v>
      </x:c>
      <x:c r="E4" s="176" t="str">
        <x:v>2029E收入</x:v>
      </x:c>
      <x:c r="F4" s="176" t="str">
        <x:v>2030E收入</x:v>
      </x:c>
      <x:c r="G4" s="176" t="str">
        <x:v>2026E毛利率</x:v>
      </x:c>
      <x:c r="H4" s="176" t="str">
        <x:v>2027E毛利率</x:v>
      </x:c>
      <x:c r="I4" s="176" t="str">
        <x:v>2028E毛利率</x:v>
      </x:c>
      <x:c r="J4" s="176" t="str">
        <x:v>2029E毛利率</x:v>
      </x:c>
      <x:c r="K4" s="176" t="str">
        <x:v>2030E毛利率</x:v>
      </x:c>
      <x:c r="L4" s="176" t="str">
        <x:v>核心驱动</x:v>
      </x:c>
      <x:c r="M4" s="223"/>
      <x:c r="N4" s="223"/>
      <x:c r="O4" s="223"/>
      <x:c r="P4" s="223"/>
      <x:c r="Q4" s="223"/>
      <x:c r="R4" s="184"/>
    </x:row>
    <x:row r="5">
      <x:c r="A5" s="177" t="str">
        <x:v>泛半导体</x:v>
      </x:c>
      <x:c r="B5" s="178" t="n">
        <x:v>2.459</x:v>
      </x:c>
      <x:c r="C5" s="178" t="n">
        <x:v>2.902</x:v>
      </x:c>
      <x:c r="D5" s="178" t="n">
        <x:v>3.337</x:v>
      </x:c>
      <x:c r="E5" s="178" t="n">
        <x:v>3.671</x:v>
      </x:c>
      <x:c r="F5" s="178" t="n">
        <x:v>4.038</x:v>
      </x:c>
      <x:c r="G5" s="190" t="n">
        <x:v>0.52</x:v>
      </x:c>
      <x:c r="H5" s="190" t="n">
        <x:v>0.52</x:v>
      </x:c>
      <x:c r="I5" s="190" t="n">
        <x:v>0.52</x:v>
      </x:c>
      <x:c r="J5" s="190" t="n">
        <x:v>0.52</x:v>
      </x:c>
      <x:c r="K5" s="190" t="n">
        <x:v>0.52</x:v>
      </x:c>
      <x:c r="L5" s="177" t="str">
        <x:v>2025产品毛利率54.30%；预测按52%稳态锚定</x:v>
      </x:c>
      <x:c r="M5" s="184"/>
      <x:c r="N5" s="184"/>
      <x:c r="O5" s="184"/>
      <x:c r="P5" s="184"/>
      <x:c r="Q5" s="184"/>
      <x:c r="R5" s="184"/>
    </x:row>
    <x:row r="6">
      <x:c r="A6" s="177" t="str">
        <x:v>工业</x:v>
      </x:c>
      <x:c r="B6" s="178" t="n">
        <x:v>2.115</x:v>
      </x:c>
      <x:c r="C6" s="178" t="n">
        <x:v>2.221</x:v>
      </x:c>
      <x:c r="D6" s="178" t="n">
        <x:v>2.332</x:v>
      </x:c>
      <x:c r="E6" s="178" t="n">
        <x:v>2.449</x:v>
      </x:c>
      <x:c r="F6" s="178" t="n">
        <x:v>2.571</x:v>
      </x:c>
      <x:c r="G6" s="190" t="n">
        <x:v>0.42</x:v>
      </x:c>
      <x:c r="H6" s="190" t="n">
        <x:v>0.42</x:v>
      </x:c>
      <x:c r="I6" s="190" t="n">
        <x:v>0.42</x:v>
      </x:c>
      <x:c r="J6" s="190" t="n">
        <x:v>0.42</x:v>
      </x:c>
      <x:c r="K6" s="190" t="n">
        <x:v>0.42</x:v>
      </x:c>
      <x:c r="L6" s="177" t="str">
        <x:v>需求低个位数增长；毛利率参考2025激光光学42.74%</x:v>
      </x:c>
      <x:c r="M6" s="184"/>
      <x:c r="N6" s="184"/>
      <x:c r="O6" s="184"/>
      <x:c r="P6" s="184"/>
      <x:c r="Q6" s="184"/>
      <x:c r="R6" s="184"/>
    </x:row>
    <x:row r="7">
      <x:c r="A7" s="177" t="str">
        <x:v>光通信</x:v>
      </x:c>
      <x:c r="B7" s="178" t="n">
        <x:f>L43</x:f>
        <x:v>3.8854143999999997</x:v>
      </x:c>
      <x:c r="C7" s="178" t="n">
        <x:f>M43</x:f>
        <x:v>30.677453600000003</x:v>
      </x:c>
      <x:c r="D7" s="178" t="n">
        <x:f>N43</x:f>
        <x:v>95.44089068800001</x:v>
      </x:c>
      <x:c r="E7" s="178" t="n">
        <x:f>O43</x:f>
        <x:v>170.81879448448004</x:v>
      </x:c>
      <x:c r="F7" s="178" t="n">
        <x:f>P43</x:f>
        <x:v>240.20187159475202</x:v>
      </x:c>
      <x:c r="G7" s="190" t="n">
        <x:v>0.6</x:v>
      </x:c>
      <x:c r="H7" s="190" t="n">
        <x:v>0.6</x:v>
      </x:c>
      <x:c r="I7" s="190" t="n">
        <x:v>0.6</x:v>
      </x:c>
      <x:c r="J7" s="190" t="n">
        <x:v>0.6</x:v>
      </x:c>
      <x:c r="K7" s="190" t="n">
        <x:v>0.6</x:v>
      </x:c>
      <x:c r="L7" s="177" t="str">
        <x:v>七条产品线兑现收入；毛利率固定60%</x:v>
      </x:c>
      <x:c r="M7" s="184"/>
      <x:c r="N7" s="184"/>
      <x:c r="O7" s="184"/>
      <x:c r="P7" s="184"/>
      <x:c r="Q7" s="184"/>
      <x:c r="R7" s="184"/>
    </x:row>
    <x:row r="8">
      <x:c r="A8" s="177" t="str">
        <x:v>汽车</x:v>
      </x:c>
      <x:c r="B8" s="178" t="n">
        <x:v>1.009</x:v>
      </x:c>
      <x:c r="C8" s="178" t="n">
        <x:v>0.959</x:v>
      </x:c>
      <x:c r="D8" s="178" t="n">
        <x:v>1.007</x:v>
      </x:c>
      <x:c r="E8" s="178" t="n">
        <x:v>1.057</x:v>
      </x:c>
      <x:c r="F8" s="178" t="n">
        <x:v>1.11</x:v>
      </x:c>
      <x:c r="G8" s="190" t="n">
        <x:v>0.35</x:v>
      </x:c>
      <x:c r="H8" s="190" t="n">
        <x:v>0.35</x:v>
      </x:c>
      <x:c r="I8" s="190" t="n">
        <x:v>0.35</x:v>
      </x:c>
      <x:c r="J8" s="190" t="n">
        <x:v>0.35</x:v>
      </x:c>
      <x:c r="K8" s="190" t="n">
        <x:v>0.35</x:v>
      </x:c>
      <x:c r="L8" s="177" t="str">
        <x:v>收入温和修复；参考2025汽车产品37.29%，预测毛利率维持35%</x:v>
      </x:c>
      <x:c r="M8" s="184"/>
      <x:c r="N8" s="184"/>
      <x:c r="O8" s="184"/>
      <x:c r="P8" s="184"/>
      <x:c r="Q8" s="184"/>
      <x:c r="R8" s="184"/>
    </x:row>
    <x:row r="9">
      <x:c r="A9" s="177" t="str">
        <x:v>医疗健康</x:v>
      </x:c>
      <x:c r="B9" s="178" t="n">
        <x:v>0.894</x:v>
      </x:c>
      <x:c r="C9" s="178" t="n">
        <x:v>0.939</x:v>
      </x:c>
      <x:c r="D9" s="178" t="n">
        <x:v>0.986</x:v>
      </x:c>
      <x:c r="E9" s="178" t="n">
        <x:v>1.035</x:v>
      </x:c>
      <x:c r="F9" s="178" t="n">
        <x:v>1.087</x:v>
      </x:c>
      <x:c r="G9" s="190" t="n">
        <x:v>0.34</x:v>
      </x:c>
      <x:c r="H9" s="190" t="n">
        <x:v>0.34</x:v>
      </x:c>
      <x:c r="I9" s="190" t="n">
        <x:v>0.34</x:v>
      </x:c>
      <x:c r="J9" s="190" t="n">
        <x:v>0.34</x:v>
      </x:c>
      <x:c r="K9" s="190" t="n">
        <x:v>0.34</x:v>
      </x:c>
      <x:c r="L9" s="177" t="str">
        <x:v>成熟客户约5%增长；毛利率参考2024—2025约33%—34%</x:v>
      </x:c>
      <x:c r="M9" s="184"/>
      <x:c r="N9" s="184"/>
      <x:c r="O9" s="184"/>
      <x:c r="P9" s="184"/>
      <x:c r="Q9" s="184"/>
      <x:c r="R9" s="184"/>
    </x:row>
    <x:row r="10">
      <x:c r="A10" s="177" t="str">
        <x:v>消费电子</x:v>
      </x:c>
      <x:c r="B10" s="178" t="n">
        <x:f>'机会输入'!C81</x:f>
        <x:v>0.839</x:v>
      </x:c>
      <x:c r="C10" s="178" t="n">
        <x:f>'机会输入'!D81</x:f>
        <x:v>2.1814</x:v>
      </x:c>
      <x:c r="D10" s="178" t="n">
        <x:f>'机会输入'!E81</x:f>
        <x:v>4.47187</x:v>
      </x:c>
      <x:c r="E10" s="178" t="n">
        <x:f>'机会输入'!F81</x:f>
        <x:v>5.8134310000000005</x:v>
      </x:c>
      <x:c r="F10" s="178" t="n">
        <x:f>'机会输入'!G81</x:f>
        <x:v>6.9761172</x:v>
      </x:c>
      <x:c r="G10" s="190" t="n">
        <x:v>0.35</x:v>
      </x:c>
      <x:c r="H10" s="190" t="n">
        <x:v>0.35</x:v>
      </x:c>
      <x:c r="I10" s="190" t="n">
        <x:v>0.35</x:v>
      </x:c>
      <x:c r="J10" s="190" t="n">
        <x:v>0.35</x:v>
      </x:c>
      <x:c r="K10" s="190" t="n">
        <x:v>0.35</x:v>
      </x:c>
      <x:c r="L10" s="177" t="str">
        <x:v>XR光学与感知项目爬坡、无创血糖光谱测量模组潜在工程导入带动增长；为研究预测，非已确认订单或终端医疗认证。 毛利率按35%稳态研究假设。</x:v>
      </x:c>
      <x:c r="M10" s="184"/>
      <x:c r="N10" s="184"/>
      <x:c r="O10" s="184"/>
      <x:c r="P10" s="184"/>
      <x:c r="Q10" s="184"/>
      <x:c r="R10" s="184"/>
    </x:row>
    <x:row r="11">
      <x:c r="A11" s="177" t="str">
        <x:v>科研及其他</x:v>
      </x:c>
      <x:c r="B11" s="178" t="n">
        <x:v>0.11</x:v>
      </x:c>
      <x:c r="C11" s="178" t="n">
        <x:v>0.11</x:v>
      </x:c>
      <x:c r="D11" s="178" t="n">
        <x:v>0.115</x:v>
      </x:c>
      <x:c r="E11" s="178" t="n">
        <x:v>0.12</x:v>
      </x:c>
      <x:c r="F11" s="178" t="n">
        <x:v>0.125</x:v>
      </x:c>
      <x:c r="G11" s="190" t="n">
        <x:v>0.5</x:v>
      </x:c>
      <x:c r="H11" s="190" t="n">
        <x:v>0.5</x:v>
      </x:c>
      <x:c r="I11" s="190" t="n">
        <x:v>0.5</x:v>
      </x:c>
      <x:c r="J11" s="190" t="n">
        <x:v>0.5</x:v>
      </x:c>
      <x:c r="K11" s="190" t="n">
        <x:v>0.5</x:v>
      </x:c>
      <x:c r="L11" s="177" t="str">
        <x:v>稳定口径</x:v>
      </x:c>
      <x:c r="M11" s="184"/>
      <x:c r="N11" s="184"/>
      <x:c r="O11" s="184"/>
      <x:c r="P11" s="184"/>
      <x:c r="Q11" s="184"/>
      <x:c r="R11" s="184"/>
    </x:row>
    <x:row r="12">
      <x:c r="A12" s="184"/>
      <x:c r="B12" s="184"/>
      <x:c r="C12" s="184"/>
      <x:c r="D12" s="184"/>
      <x:c r="E12" s="184"/>
      <x:c r="F12" s="184"/>
      <x:c r="G12" s="184"/>
      <x:c r="H12" s="184"/>
      <x:c r="I12" s="184"/>
      <x:c r="J12" s="184"/>
      <x:c r="K12" s="184"/>
      <x:c r="L12" s="184"/>
      <x:c r="M12" s="184"/>
      <x:c r="N12" s="184"/>
      <x:c r="O12" s="184"/>
      <x:c r="P12" s="184"/>
      <x:c r="Q12" s="184"/>
      <x:c r="R12" s="184"/>
    </x:row>
    <x:row r="13">
      <x:c r="A13" s="176" t="str">
        <x:v>基准情形利润表</x:v>
      </x:c>
      <x:c r="B13" s="176" t="str">
        <x:v>2026E</x:v>
      </x:c>
      <x:c r="C13" s="176" t="str">
        <x:v>2027E</x:v>
      </x:c>
      <x:c r="D13" s="176" t="str">
        <x:v>2028E</x:v>
      </x:c>
      <x:c r="E13" s="176" t="str">
        <x:v>2029E</x:v>
      </x:c>
      <x:c r="F13" s="176" t="str">
        <x:v>2030E</x:v>
      </x:c>
      <x:c r="G13" s="184"/>
      <x:c r="H13" s="184"/>
      <x:c r="I13" s="184"/>
      <x:c r="J13" s="184"/>
      <x:c r="K13" s="184"/>
      <x:c r="L13" s="184"/>
      <x:c r="M13" s="184"/>
      <x:c r="N13" s="184"/>
      <x:c r="O13" s="184"/>
      <x:c r="P13" s="184"/>
      <x:c r="Q13" s="184"/>
      <x:c r="R13" s="184"/>
    </x:row>
    <x:row r="14">
      <x:c r="A14" s="177" t="str">
        <x:v>营业收入</x:v>
      </x:c>
      <x:c r="B14" s="178" t="n">
        <x:f>SUM(B5:B11)</x:f>
        <x:v>11.3114144</x:v>
      </x:c>
      <x:c r="C14" s="178" t="n">
        <x:f>SUM(C5:C11)</x:f>
        <x:v>39.989853600000004</x:v>
      </x:c>
      <x:c r="D14" s="178" t="n">
        <x:f>SUM(D5:D11)</x:f>
        <x:v>107.689760688</x:v>
      </x:c>
      <x:c r="E14" s="178" t="n">
        <x:f>SUM(E5:E11)</x:f>
        <x:v>184.96422548448004</x:v>
      </x:c>
      <x:c r="F14" s="178" t="n">
        <x:f>SUM(F5:F11)</x:f>
        <x:v>256.108988794752</x:v>
      </x:c>
      <x:c r="G14" s="184"/>
      <x:c r="H14" s="184"/>
      <x:c r="I14" s="184"/>
      <x:c r="J14" s="184"/>
      <x:c r="K14" s="184"/>
      <x:c r="L14" s="184"/>
      <x:c r="M14" s="184"/>
      <x:c r="N14" s="184"/>
      <x:c r="O14" s="184"/>
      <x:c r="P14" s="184"/>
      <x:c r="Q14" s="184"/>
      <x:c r="R14" s="184"/>
    </x:row>
    <x:row r="15">
      <x:c r="A15" s="177" t="str">
        <x:v>毛利润</x:v>
      </x:c>
      <x:c r="B15" s="178" t="n">
        <x:f>SUMPRODUCT(B5:B11,G5:G11)</x:f>
        <x:v>5.503988639999999</x:v>
      </x:c>
      <x:c r="C15" s="178" t="n">
        <x:f>SUMPRODUCT(C5:C11,H5:H11)</x:f>
        <x:v>22.32173216</x:v>
      </x:c>
      <x:c r="D15" s="178" t="n">
        <x:f>SUMPRODUCT(D5:D11,I5:I11)</x:f>
        <x:v>62.2895589128</x:v>
      </x:c>
      <x:c r="E15" s="178" t="n">
        <x:f>SUMPRODUCT(E5:E11,J5:J11)</x:f>
        <x:v>108.24532754068804</x:v>
      </x:c>
      <x:c r="F15" s="178" t="n">
        <x:f>SUMPRODUCT(F5:F11,K5:K11)</x:f>
        <x:v>150.56292397685118</x:v>
      </x:c>
      <x:c r="G15" s="184"/>
      <x:c r="H15" s="184"/>
      <x:c r="I15" s="184"/>
      <x:c r="J15" s="184"/>
      <x:c r="K15" s="184"/>
      <x:c r="L15" s="184"/>
      <x:c r="M15" s="184"/>
      <x:c r="N15" s="184"/>
      <x:c r="O15" s="184"/>
      <x:c r="P15" s="184"/>
      <x:c r="Q15" s="184"/>
      <x:c r="R15" s="184"/>
    </x:row>
    <x:row r="16">
      <x:c r="A16" s="177" t="str">
        <x:v>综合毛利率</x:v>
      </x:c>
      <x:c r="B16" s="190" t="n">
        <x:f>IF(B14=0,0,B15/B14)</x:f>
        <x:v>0.48658712742413535</x:v>
      </x:c>
      <x:c r="C16" s="190" t="n">
        <x:f>IF(C14=0,0,C15/C14)</x:f>
        <x:v>0.558184893180004</x:v>
      </x:c>
      <x:c r="D16" s="190" t="n">
        <x:f>IF(D14=0,0,D15/D14)</x:f>
        <x:v>0.5784167270393145</x:v>
      </x:c>
      <x:c r="E16" s="190" t="n">
        <x:f>IF(E14=0,0,E15/E14)</x:f>
        <x:v>0.5852230465494566</x:v>
      </x:c>
      <x:c r="F16" s="190" t="n">
        <x:f>IF(F14=0,0,F15/F14)</x:f>
        <x:v>0.5878861366225362</x:v>
      </x:c>
      <x:c r="G16" s="184"/>
      <x:c r="H16" s="184"/>
      <x:c r="I16" s="184"/>
      <x:c r="J16" s="184"/>
      <x:c r="K16" s="184"/>
      <x:c r="L16" s="184"/>
      <x:c r="M16" s="184"/>
      <x:c r="N16" s="184"/>
      <x:c r="O16" s="184"/>
      <x:c r="P16" s="184"/>
      <x:c r="Q16" s="184"/>
      <x:c r="R16" s="184"/>
    </x:row>
    <x:row r="17">
      <x:c r="A17" s="177" t="str">
        <x:v>销售费用</x:v>
      </x:c>
      <x:c r="B17" s="178" t="n">
        <x:f>-B14*'机会输入'!C69</x:f>
        <x:v>-0.5429478912</x:v>
      </x:c>
      <x:c r="C17" s="178" t="n">
        <x:f>-C14*'机会输入'!D69</x:f>
        <x:v>-1.799543412</x:v>
      </x:c>
      <x:c r="D17" s="178" t="n">
        <x:f>-D14*'机会输入'!E69</x:f>
        <x:v>-3.2306928206400003</x:v>
      </x:c>
      <x:c r="E17" s="178" t="n">
        <x:f>-E14*'机会输入'!F69</x:f>
        <x:v>-5.178998313565441</x:v>
      </x:c>
      <x:c r="F17" s="178" t="n">
        <x:f>-F14*'机会输入'!G69</x:f>
        <x:v>-6.4027247198688</x:v>
      </x:c>
      <x:c r="G17" s="184"/>
      <x:c r="H17" s="184"/>
      <x:c r="I17" s="184"/>
      <x:c r="J17" s="184"/>
      <x:c r="K17" s="184"/>
      <x:c r="L17" s="184"/>
      <x:c r="M17" s="184"/>
      <x:c r="N17" s="184"/>
      <x:c r="O17" s="184"/>
      <x:c r="P17" s="184"/>
      <x:c r="Q17" s="184"/>
      <x:c r="R17" s="184"/>
    </x:row>
    <x:row r="18">
      <x:c r="A18" s="177" t="str">
        <x:v>管理费用</x:v>
      </x:c>
      <x:c r="B18" s="178" t="n">
        <x:f>-B14*'机会输入'!C70</x:f>
        <x:v>-1.5270409440000001</x:v>
      </x:c>
      <x:c r="C18" s="178" t="n">
        <x:f>-C14*'机会输入'!D70</x:f>
        <x:v>-4.598833164</x:v>
      </x:c>
      <x:c r="D18" s="178" t="n">
        <x:f>-D14*'机会输入'!E70</x:f>
        <x:v>-10.7689760688</x:v>
      </x:c>
      <x:c r="E18" s="178" t="n">
        <x:f>-E14*'机会输入'!F70</x:f>
        <x:v>-17.571601421025605</x:v>
      </x:c>
      <x:c r="F18" s="178" t="n">
        <x:f>-F14*'机会输入'!G70</x:f>
        <x:v>-23.04980899152768</x:v>
      </x:c>
      <x:c r="G18" s="184"/>
      <x:c r="H18" s="184"/>
      <x:c r="I18" s="184"/>
      <x:c r="J18" s="184"/>
      <x:c r="K18" s="184"/>
      <x:c r="L18" s="184"/>
      <x:c r="M18" s="184"/>
      <x:c r="N18" s="184"/>
      <x:c r="O18" s="184"/>
      <x:c r="P18" s="184"/>
      <x:c r="Q18" s="184"/>
      <x:c r="R18" s="184"/>
    </x:row>
    <x:row r="19">
      <x:c r="A19" s="177" t="str">
        <x:v>研发费用</x:v>
      </x:c>
      <x:c r="B19" s="178" t="n">
        <x:f>-B14*'机会输入'!C71</x:f>
        <x:v>-1.809826304</x:v>
      </x:c>
      <x:c r="C19" s="178" t="n">
        <x:f>-C14*'机会输入'!D71</x:f>
        <x:v>-5.398630236000001</x:v>
      </x:c>
      <x:c r="D19" s="178" t="n">
        <x:f>-D14*'机会输入'!E71</x:f>
        <x:v>-10.7689760688</x:v>
      </x:c>
      <x:c r="E19" s="178" t="n">
        <x:f>-E14*'机会输入'!F71</x:f>
        <x:v>-17.571601421025605</x:v>
      </x:c>
      <x:c r="F19" s="178" t="n">
        <x:f>-F14*'机会输入'!G71</x:f>
        <x:v>-23.04980899152768</x:v>
      </x:c>
      <x:c r="G19" s="184"/>
      <x:c r="H19" s="184"/>
      <x:c r="I19" s="184"/>
      <x:c r="J19" s="184"/>
      <x:c r="K19" s="184"/>
      <x:c r="L19" s="184"/>
      <x:c r="M19" s="184"/>
      <x:c r="N19" s="184"/>
      <x:c r="O19" s="184"/>
      <x:c r="P19" s="184"/>
      <x:c r="Q19" s="184"/>
      <x:c r="R19" s="184"/>
    </x:row>
    <x:row r="20">
      <x:c r="A20" s="177" t="str">
        <x:v>财务费用</x:v>
      </x:c>
      <x:c r="B20" s="178" t="n">
        <x:f>-B14*'机会输入'!C72</x:f>
        <x:v>-0.1357369728</x:v>
      </x:c>
      <x:c r="C20" s="178" t="n">
        <x:f>-C14*'机会输入'!D72</x:f>
        <x:v>-0.31991882880000005</x:v>
      </x:c>
      <x:c r="D20" s="178" t="n">
        <x:f>-D14*'机会输入'!E72</x:f>
        <x:v>-0.53844880344</x:v>
      </x:c>
      <x:c r="E20" s="178" t="n">
        <x:f>-E14*'机会输入'!F72</x:f>
        <x:v>-0.5548926764534401</x:v>
      </x:c>
      <x:c r="F20" s="178" t="n">
        <x:f>-F14*'机会输入'!G72</x:f>
        <x:v>-0.512217977589504</x:v>
      </x:c>
      <x:c r="G20" s="184"/>
      <x:c r="H20" s="184"/>
      <x:c r="I20" s="184"/>
      <x:c r="J20" s="184"/>
      <x:c r="K20" s="184"/>
      <x:c r="L20" s="184"/>
      <x:c r="M20" s="184"/>
      <x:c r="N20" s="184"/>
      <x:c r="O20" s="184"/>
      <x:c r="P20" s="184"/>
      <x:c r="Q20" s="184"/>
      <x:c r="R20" s="184"/>
    </x:row>
    <x:row r="21">
      <x:c r="A21" s="177" t="str">
        <x:v>税金及附加</x:v>
      </x:c>
      <x:c r="B21" s="178" t="n">
        <x:f>-B14*'机会输入'!C73</x:f>
        <x:v>-0.0452456576</x:v>
      </x:c>
      <x:c r="C21" s="178" t="n">
        <x:f>-C14*'机会输入'!D73</x:f>
        <x:v>-0.1799543412</x:v>
      </x:c>
      <x:c r="D21" s="178" t="n">
        <x:f>-D14*'机会输入'!E73</x:f>
        <x:v>-0.484603923096</x:v>
      </x:c>
      <x:c r="E21" s="178" t="n">
        <x:f>-E14*'机会输入'!F73</x:f>
        <x:v>-0.9248211274224002</x:v>
      </x:c>
      <x:c r="F21" s="178" t="n">
        <x:f>-F14*'机会输入'!G73</x:f>
        <x:v>-1.2805449439737602</x:v>
      </x:c>
      <x:c r="G21" s="184"/>
      <x:c r="H21" s="184"/>
      <x:c r="I21" s="184"/>
      <x:c r="J21" s="184"/>
      <x:c r="K21" s="184"/>
      <x:c r="L21" s="184"/>
      <x:c r="M21" s="184"/>
      <x:c r="N21" s="184"/>
      <x:c r="O21" s="184"/>
      <x:c r="P21" s="184"/>
      <x:c r="Q21" s="184"/>
      <x:c r="R21" s="184"/>
    </x:row>
    <x:row r="22">
      <x:c r="A22" s="177" t="str">
        <x:v>其他收益</x:v>
      </x:c>
      <x:c r="B22" s="178" t="n">
        <x:f>'机会输入'!C75</x:f>
        <x:v>0.08</x:v>
      </x:c>
      <x:c r="C22" s="178" t="n">
        <x:f>'机会输入'!D75</x:f>
        <x:v>0.1</x:v>
      </x:c>
      <x:c r="D22" s="178" t="n">
        <x:f>'机会输入'!E75</x:f>
        <x:v>0.12</x:v>
      </x:c>
      <x:c r="E22" s="178" t="n">
        <x:f>'机会输入'!F75</x:f>
        <x:v>0.14</x:v>
      </x:c>
      <x:c r="F22" s="178" t="n">
        <x:f>'机会输入'!G75</x:f>
        <x:v>0.16</x:v>
      </x:c>
      <x:c r="G22" s="184"/>
      <x:c r="H22" s="184"/>
      <x:c r="I22" s="184"/>
      <x:c r="J22" s="184"/>
      <x:c r="K22" s="184"/>
      <x:c r="L22" s="184"/>
      <x:c r="M22" s="184"/>
      <x:c r="N22" s="184"/>
      <x:c r="O22" s="184"/>
      <x:c r="P22" s="184"/>
      <x:c r="Q22" s="184"/>
      <x:c r="R22" s="184"/>
    </x:row>
    <x:row r="23">
      <x:c r="A23" s="177" t="str">
        <x:v>投资损益</x:v>
      </x:c>
      <x:c r="B23" s="178" t="n">
        <x:f>0</x:f>
        <x:v>0</x:v>
      </x:c>
      <x:c r="C23" s="178" t="n">
        <x:f>0</x:f>
        <x:v>0</x:v>
      </x:c>
      <x:c r="D23" s="178" t="n">
        <x:f>0</x:f>
        <x:v>0</x:v>
      </x:c>
      <x:c r="E23" s="178" t="n">
        <x:f>0</x:f>
        <x:v>0</x:v>
      </x:c>
      <x:c r="F23" s="178" t="n">
        <x:f>0</x:f>
        <x:v>0</x:v>
      </x:c>
      <x:c r="G23" s="184"/>
      <x:c r="H23" s="184"/>
      <x:c r="I23" s="184"/>
      <x:c r="J23" s="184"/>
      <x:c r="K23" s="184"/>
      <x:c r="L23" s="184"/>
      <x:c r="M23" s="184"/>
      <x:c r="N23" s="184"/>
      <x:c r="O23" s="184"/>
      <x:c r="P23" s="184"/>
      <x:c r="Q23" s="184"/>
      <x:c r="R23" s="184"/>
    </x:row>
    <x:row r="24">
      <x:c r="A24" s="177" t="str">
        <x:v>信用减值</x:v>
      </x:c>
      <x:c r="B24" s="178" t="n">
        <x:f>0</x:f>
        <x:v>0</x:v>
      </x:c>
      <x:c r="C24" s="178" t="n">
        <x:f>0</x:f>
        <x:v>0</x:v>
      </x:c>
      <x:c r="D24" s="178" t="n">
        <x:f>0</x:f>
        <x:v>0</x:v>
      </x:c>
      <x:c r="E24" s="178" t="n">
        <x:f>0</x:f>
        <x:v>0</x:v>
      </x:c>
      <x:c r="F24" s="178" t="n">
        <x:f>0</x:f>
        <x:v>0</x:v>
      </x:c>
      <x:c r="G24" s="184"/>
      <x:c r="H24" s="184"/>
      <x:c r="I24" s="184"/>
      <x:c r="J24" s="184"/>
      <x:c r="K24" s="184"/>
      <x:c r="L24" s="184"/>
      <x:c r="M24" s="184"/>
      <x:c r="N24" s="184"/>
      <x:c r="O24" s="184"/>
      <x:c r="P24" s="184"/>
      <x:c r="Q24" s="184"/>
      <x:c r="R24" s="184"/>
    </x:row>
    <x:row r="25">
      <x:c r="A25" s="177" t="str">
        <x:v>资产减值</x:v>
      </x:c>
      <x:c r="B25" s="178" t="n">
        <x:f>-'机会输入'!C74</x:f>
        <x:v>-0.7</x:v>
      </x:c>
      <x:c r="C25" s="178" t="n">
        <x:f>-'机会输入'!D74</x:f>
        <x:v>-0.18</x:v>
      </x:c>
      <x:c r="D25" s="178" t="n">
        <x:f>-'机会输入'!E74</x:f>
        <x:v>-0.1</x:v>
      </x:c>
      <x:c r="E25" s="178" t="n">
        <x:f>-'机会输入'!F74</x:f>
        <x:v>-0.08</x:v>
      </x:c>
      <x:c r="F25" s="178" t="n">
        <x:f>-'机会输入'!G74</x:f>
        <x:v>-0.06</x:v>
      </x:c>
      <x:c r="G25" s="184"/>
      <x:c r="H25" s="184"/>
      <x:c r="I25" s="184"/>
      <x:c r="J25" s="184"/>
      <x:c r="K25" s="184"/>
      <x:c r="L25" s="184"/>
      <x:c r="M25" s="184"/>
      <x:c r="N25" s="184"/>
      <x:c r="O25" s="184"/>
      <x:c r="P25" s="184"/>
      <x:c r="Q25" s="184"/>
      <x:c r="R25" s="184"/>
    </x:row>
    <x:row r="26">
      <x:c r="A26" s="177" t="str">
        <x:v>资产处置</x:v>
      </x:c>
      <x:c r="B26" s="178" t="n">
        <x:f>0</x:f>
        <x:v>0</x:v>
      </x:c>
      <x:c r="C26" s="178" t="n">
        <x:f>0</x:f>
        <x:v>0</x:v>
      </x:c>
      <x:c r="D26" s="178" t="n">
        <x:f>0</x:f>
        <x:v>0</x:v>
      </x:c>
      <x:c r="E26" s="178" t="n">
        <x:f>0</x:f>
        <x:v>0</x:v>
      </x:c>
      <x:c r="F26" s="178" t="n">
        <x:f>0</x:f>
        <x:v>0</x:v>
      </x:c>
      <x:c r="G26" s="184"/>
      <x:c r="H26" s="184"/>
      <x:c r="I26" s="184"/>
      <x:c r="J26" s="184"/>
      <x:c r="K26" s="184"/>
      <x:c r="L26" s="184"/>
      <x:c r="M26" s="184"/>
      <x:c r="N26" s="184"/>
      <x:c r="O26" s="184"/>
      <x:c r="P26" s="184"/>
      <x:c r="Q26" s="184"/>
      <x:c r="R26" s="184"/>
    </x:row>
    <x:row r="27">
      <x:c r="A27" s="177" t="str">
        <x:v>营业外净额</x:v>
      </x:c>
      <x:c r="B27" s="178" t="n">
        <x:f>0</x:f>
        <x:v>0</x:v>
      </x:c>
      <x:c r="C27" s="178" t="n">
        <x:f>0</x:f>
        <x:v>0</x:v>
      </x:c>
      <x:c r="D27" s="178" t="n">
        <x:f>0</x:f>
        <x:v>0</x:v>
      </x:c>
      <x:c r="E27" s="178" t="n">
        <x:f>0</x:f>
        <x:v>0</x:v>
      </x:c>
      <x:c r="F27" s="178" t="n">
        <x:f>0</x:f>
        <x:v>0</x:v>
      </x:c>
      <x:c r="G27" s="184"/>
      <x:c r="H27" s="184"/>
      <x:c r="I27" s="184"/>
      <x:c r="J27" s="184"/>
      <x:c r="K27" s="184"/>
      <x:c r="L27" s="184"/>
      <x:c r="M27" s="184"/>
      <x:c r="N27" s="184"/>
      <x:c r="O27" s="184"/>
      <x:c r="P27" s="184"/>
      <x:c r="Q27" s="184"/>
      <x:c r="R27" s="184"/>
    </x:row>
    <x:row r="28">
      <x:c r="A28" s="177" t="str">
        <x:v>利润总额</x:v>
      </x:c>
      <x:c r="B28" s="178" t="n">
        <x:f>SUM(B15,B17:B27)</x:f>
        <x:v>0.8231908703999995</x:v>
      </x:c>
      <x:c r="C28" s="178" t="n">
        <x:f>SUM(C15,C17:C27)</x:f>
        <x:v>9.944852177999998</x:v>
      </x:c>
      <x:c r="D28" s="178" t="n">
        <x:f>SUM(D15,D17:D27)</x:f>
        <x:v>36.51786122802399</x:v>
      </x:c>
      <x:c r="E28" s="178" t="n">
        <x:f>SUM(E15,E17:E27)</x:f>
        <x:v>66.50341258119555</x:v>
      </x:c>
      <x:c r="F28" s="178" t="n">
        <x:f>SUM(F15,F17:F27)</x:f>
        <x:v>96.36781835236376</x:v>
      </x:c>
      <x:c r="G28" s="184"/>
      <x:c r="H28" s="184"/>
      <x:c r="I28" s="184"/>
      <x:c r="J28" s="184"/>
      <x:c r="K28" s="184"/>
      <x:c r="L28" s="184"/>
      <x:c r="M28" s="184"/>
      <x:c r="N28" s="184"/>
      <x:c r="O28" s="184"/>
      <x:c r="P28" s="184"/>
      <x:c r="Q28" s="184"/>
      <x:c r="R28" s="184"/>
    </x:row>
    <x:row r="29">
      <x:c r="A29" s="177" t="str">
        <x:v>所得税</x:v>
      </x:c>
      <x:c r="B29" s="178" t="n">
        <x:f>-MAX(0,B28)*'机会输入'!C76</x:f>
        <x:v>0</x:v>
      </x:c>
      <x:c r="C29" s="178" t="n">
        <x:f>-MAX(0,C28)*'机会输入'!D76</x:f>
        <x:v>-1.4917278266999996</x:v>
      </x:c>
      <x:c r="D29" s="178" t="n">
        <x:f>-MAX(0,D28)*'机会输入'!E76</x:f>
        <x:v>-5.477679184203598</x:v>
      </x:c>
      <x:c r="E29" s="178" t="n">
        <x:f>-MAX(0,E28)*'机会输入'!F76</x:f>
        <x:v>-9.975511887179332</x:v>
      </x:c>
      <x:c r="F29" s="178" t="n">
        <x:f>-MAX(0,F28)*'机会输入'!G76</x:f>
        <x:v>-14.455172752854562</x:v>
      </x:c>
      <x:c r="G29" s="184"/>
      <x:c r="H29" s="184"/>
      <x:c r="I29" s="184"/>
      <x:c r="J29" s="184"/>
      <x:c r="K29" s="184"/>
      <x:c r="L29" s="184"/>
      <x:c r="M29" s="184"/>
      <x:c r="N29" s="184"/>
      <x:c r="O29" s="184"/>
      <x:c r="P29" s="184"/>
      <x:c r="Q29" s="184"/>
      <x:c r="R29" s="184"/>
    </x:row>
    <x:row r="30">
      <x:c r="A30" s="197" t="str">
        <x:v>归母净利润</x:v>
      </x:c>
      <x:c r="B30" s="214" t="n">
        <x:f>B28+B29</x:f>
        <x:v>0.8231908703999995</x:v>
      </x:c>
      <x:c r="C30" s="214" t="n">
        <x:f>C28+C29</x:f>
        <x:v>8.453124351299998</x:v>
      </x:c>
      <x:c r="D30" s="214" t="n">
        <x:f>D28+D29</x:f>
        <x:v>31.04018204382039</x:v>
      </x:c>
      <x:c r="E30" s="214" t="n">
        <x:f>E28+E29</x:f>
        <x:v>56.52790069401622</x:v>
      </x:c>
      <x:c r="F30" s="214" t="n">
        <x:f>F28+F29</x:f>
        <x:v>81.91264559950919</x:v>
      </x:c>
      <x:c r="G30" s="184"/>
      <x:c r="H30" s="184"/>
      <x:c r="I30" s="184"/>
      <x:c r="J30" s="184"/>
      <x:c r="K30" s="184"/>
      <x:c r="L30" s="184"/>
      <x:c r="M30" s="184"/>
      <x:c r="N30" s="184"/>
      <x:c r="O30" s="184"/>
      <x:c r="P30" s="184"/>
      <x:c r="Q30" s="184"/>
      <x:c r="R30" s="184"/>
    </x:row>
    <x:row r="31">
      <x:c r="A31" s="197" t="str">
        <x:v>净利率</x:v>
      </x:c>
      <x:c r="B31" s="222" t="n">
        <x:f>IF(B14=0,0,B30/B14)</x:f>
        <x:v>0.07277523758655677</x:v>
      </x:c>
      <x:c r="C31" s="222" t="n">
        <x:f>IF(C14=0,0,C30/C14)</x:f>
        <x:v>0.21138172787159185</x:v>
      </x:c>
      <x:c r="D31" s="222" t="n">
        <x:f>IF(D14=0,0,D30/D14)</x:f>
        <x:v>0.2882370788598032</x:v>
      </x:c>
      <x:c r="E31" s="222" t="n">
        <x:f>IF(E14=0,0,E30/E14)</x:f>
        <x:v>0.30561531856201757</x:v>
      </x:c>
      <x:c r="F31" s="222" t="n">
        <x:f>IF(F14=0,0,F30/F14)</x:f>
        <x:v>0.31983510608116417</x:v>
      </x:c>
      <x:c r="G31" s="184"/>
      <x:c r="H31" s="184"/>
      <x:c r="I31" s="184"/>
      <x:c r="J31" s="184"/>
      <x:c r="K31" s="184"/>
      <x:c r="L31" s="184"/>
      <x:c r="M31" s="184"/>
      <x:c r="N31" s="184"/>
      <x:c r="O31" s="184"/>
      <x:c r="P31" s="184"/>
      <x:c r="Q31" s="184"/>
      <x:c r="R31" s="184"/>
    </x:row>
    <x:row r="32">
      <x:c r="A32" s="184"/>
      <x:c r="B32" s="184"/>
      <x:c r="C32" s="184"/>
      <x:c r="D32" s="184"/>
      <x:c r="E32" s="184"/>
      <x:c r="F32" s="184"/>
      <x:c r="G32" s="184"/>
      <x:c r="H32" s="184"/>
      <x:c r="I32" s="184"/>
      <x:c r="J32" s="184"/>
      <x:c r="K32" s="184"/>
      <x:c r="L32" s="184"/>
      <x:c r="M32" s="184"/>
      <x:c r="N32" s="184"/>
      <x:c r="O32" s="184"/>
      <x:c r="P32" s="184"/>
      <x:c r="Q32" s="184"/>
      <x:c r="R32" s="184"/>
    </x:row>
    <x:row r="33" ht="34" customHeight="1">
      <x:c r="A33" s="198" t="str">
        <x:v>收入兑现率为研究假设，按各产品的交付阶段设定，三种情形一致；费用率随规模下降。2026年保留减值影响，后续年份按正常化经营测算。</x:v>
      </x:c>
      <x:c r="B33" s="198"/>
      <x:c r="C33" s="198"/>
      <x:c r="D33" s="198"/>
      <x:c r="E33" s="198"/>
      <x:c r="F33" s="198"/>
      <x:c r="G33" s="198"/>
      <x:c r="H33" s="198"/>
      <x:c r="I33" s="198"/>
      <x:c r="J33" s="198"/>
      <x:c r="K33" s="198"/>
      <x:c r="L33" s="198"/>
      <x:c r="M33" s="198"/>
      <x:c r="N33" s="198"/>
      <x:c r="O33" s="198"/>
      <x:c r="P33" s="198"/>
      <x:c r="Q33" s="198"/>
      <x:c r="R33" s="184"/>
    </x:row>
    <x:row r="34">
      <x:c r="A34" s="184"/>
      <x:c r="B34" s="184"/>
      <x:c r="C34" s="184"/>
      <x:c r="D34" s="184"/>
      <x:c r="E34" s="184"/>
      <x:c r="F34" s="184"/>
      <x:c r="G34" s="184"/>
      <x:c r="H34" s="184"/>
      <x:c r="I34" s="184"/>
      <x:c r="J34" s="184"/>
      <x:c r="K34" s="184"/>
      <x:c r="L34" s="184"/>
      <x:c r="M34" s="184"/>
      <x:c r="N34" s="184"/>
      <x:c r="O34" s="184"/>
      <x:c r="P34" s="184"/>
      <x:c r="Q34" s="184"/>
      <x:c r="R34" s="184"/>
    </x:row>
    <x:row r="35">
      <x:c r="A35" s="176" t="str">
        <x:v>基准情形逐产品桥接</x:v>
      </x:c>
      <x:c r="B35" s="176" t="str">
        <x:v>2026理论</x:v>
      </x:c>
      <x:c r="C35" s="176" t="str">
        <x:v>2027理论</x:v>
      </x:c>
      <x:c r="D35" s="176" t="str">
        <x:v>2028理论</x:v>
      </x:c>
      <x:c r="E35" s="176" t="str">
        <x:v>2029理论</x:v>
      </x:c>
      <x:c r="F35" s="176" t="str">
        <x:v>2030理论</x:v>
      </x:c>
      <x:c r="G35" s="176" t="str">
        <x:v>2026兑现率</x:v>
      </x:c>
      <x:c r="H35" s="176" t="str">
        <x:v>2027兑现率</x:v>
      </x:c>
      <x:c r="I35" s="176" t="str">
        <x:v>2028兑现率</x:v>
      </x:c>
      <x:c r="J35" s="176" t="str">
        <x:v>2029兑现率</x:v>
      </x:c>
      <x:c r="K35" s="176" t="str">
        <x:v>2030兑现率</x:v>
      </x:c>
      <x:c r="L35" s="176" t="str">
        <x:v>2026兑现收入</x:v>
      </x:c>
      <x:c r="M35" s="176" t="str">
        <x:v>2027兑现收入</x:v>
      </x:c>
      <x:c r="N35" s="176" t="str">
        <x:v>2028兑现收入</x:v>
      </x:c>
      <x:c r="O35" s="176" t="str">
        <x:v>2029兑现收入</x:v>
      </x:c>
      <x:c r="P35" s="176" t="str">
        <x:v>2030兑现收入</x:v>
      </x:c>
      <x:c r="Q35" s="176" t="str">
        <x:v>收入确认逻辑</x:v>
      </x:c>
      <x:c r="R35" s="184"/>
    </x:row>
    <x:row r="36">
      <x:c r="A36" s="177" t="str">
        <x:v>800G 可插拔透镜</x:v>
      </x:c>
      <x:c r="B36" s="178" t="n">
        <x:f>'机会模型'!K5</x:f>
        <x:v>0.8959999999999999</x:v>
      </x:c>
      <x:c r="C36" s="178" t="n">
        <x:f>'机会模型'!L5</x:f>
        <x:v>2.349</x:v>
      </x:c>
      <x:c r="D36" s="178" t="n">
        <x:f>'机会模型'!M5</x:f>
        <x:v>1.62</x:v>
      </x:c>
      <x:c r="E36" s="178" t="n">
        <x:f>'机会模型'!N5</x:f>
        <x:v>0.9331200000000002</x:v>
      </x:c>
      <x:c r="F36" s="178" t="n">
        <x:f>'机会模型'!O5</x:f>
        <x:v>0.472392</x:v>
      </x:c>
      <x:c r="G36" s="190" t="n">
        <x:f>'机会输入'!C50</x:f>
        <x:v>0.8</x:v>
      </x:c>
      <x:c r="H36" s="190" t="n">
        <x:f>'机会输入'!D50</x:f>
        <x:v>0.9</x:v>
      </x:c>
      <x:c r="I36" s="190" t="n">
        <x:f>'机会输入'!E50</x:f>
        <x:v>0.9</x:v>
      </x:c>
      <x:c r="J36" s="190" t="n">
        <x:f>'机会输入'!F50</x:f>
        <x:v>0.9</x:v>
      </x:c>
      <x:c r="K36" s="190" t="n">
        <x:f>'机会输入'!G50</x:f>
        <x:v>0.9</x:v>
      </x:c>
      <x:c r="L36" s="178" t="n">
        <x:f>B36*G36</x:f>
        <x:v>0.7168</x:v>
      </x:c>
      <x:c r="M36" s="178" t="n">
        <x:f>C36*H36</x:f>
        <x:v>2.1141</x:v>
      </x:c>
      <x:c r="N36" s="178" t="n">
        <x:f>D36*I36</x:f>
        <x:v>1.4580000000000002</x:v>
      </x:c>
      <x:c r="O36" s="178" t="n">
        <x:f>E36*J36</x:f>
        <x:v>0.8398080000000002</x:v>
      </x:c>
      <x:c r="P36" s="178" t="n">
        <x:f>F36*K36</x:f>
        <x:v>0.4251528</x:v>
      </x:c>
      <x:c r="Q36" s="177" t="str">
        <x:v>已量产产品；兑现率反映订单交付、产能利用率与年度收入确认节奏。</x:v>
      </x:c>
      <x:c r="R36" s="184"/>
    </x:row>
    <x:row r="37">
      <x:c r="A37" s="177" t="str">
        <x:v>1.6T 可插拔透镜</x:v>
      </x:c>
      <x:c r="B37" s="178" t="n">
        <x:f>'机会模型'!K6</x:f>
        <x:v>0.42111999999999994</x:v>
      </x:c>
      <x:c r="C37" s="178" t="n">
        <x:f>'机会模型'!L6</x:f>
        <x:v>2.90304</x:v>
      </x:c>
      <x:c r="D37" s="178" t="n">
        <x:f>'机会模型'!M6</x:f>
        <x:v>4.7628</x:v>
      </x:c>
      <x:c r="E37" s="178" t="n">
        <x:f>'机会模型'!N6</x:f>
        <x:v>5.91948</x:v>
      </x:c>
      <x:c r="F37" s="178" t="n">
        <x:f>'机会模型'!O6</x:f>
        <x:v>5.878655999999999</x:v>
      </x:c>
      <x:c r="G37" s="190" t="n">
        <x:f>'机会输入'!C51</x:f>
        <x:v>0.8</x:v>
      </x:c>
      <x:c r="H37" s="190" t="n">
        <x:f>'机会输入'!D51</x:f>
        <x:v>0.9</x:v>
      </x:c>
      <x:c r="I37" s="190" t="n">
        <x:f>'机会输入'!E51</x:f>
        <x:v>0.9</x:v>
      </x:c>
      <x:c r="J37" s="190" t="n">
        <x:f>'机会输入'!F51</x:f>
        <x:v>0.9</x:v>
      </x:c>
      <x:c r="K37" s="190" t="n">
        <x:f>'机会输入'!G51</x:f>
        <x:v>0.9</x:v>
      </x:c>
      <x:c r="L37" s="178" t="n">
        <x:f>B37*G37</x:f>
        <x:v>0.336896</x:v>
      </x:c>
      <x:c r="M37" s="178" t="n">
        <x:f>C37*H37</x:f>
        <x:v>2.612736</x:v>
      </x:c>
      <x:c r="N37" s="178" t="n">
        <x:f>D37*I37</x:f>
        <x:v>4.28652</x:v>
      </x:c>
      <x:c r="O37" s="178" t="n">
        <x:f>E37*J37</x:f>
        <x:v>5.327532000000001</x:v>
      </x:c>
      <x:c r="P37" s="178" t="n">
        <x:f>F37*K37</x:f>
        <x:v>5.2907904</x:v>
      </x:c>
      <x:c r="Q37" s="177" t="str">
        <x:v>已进入放量周期；兑现率随产能、良率及产品代际切换逐年提升。</x:v>
      </x:c>
      <x:c r="R37" s="184"/>
    </x:row>
    <x:row r="38">
      <x:c r="A38" s="177" t="str">
        <x:v>OCS NxN透镜阵列</x:v>
      </x:c>
      <x:c r="B38" s="178" t="n">
        <x:f>'机会模型'!K7</x:f>
        <x:v>1.9072000000000002</x:v>
      </x:c>
      <x:c r="C38" s="178" t="n">
        <x:f>'机会模型'!L7</x:f>
        <x:v>9.994240000000001</x:v>
      </x:c>
      <x:c r="D38" s="178" t="n">
        <x:f>'机会模型'!M7</x:f>
        <x:v>19.888128000000002</x:v>
      </x:c>
      <x:c r="E38" s="178" t="n">
        <x:f>'机会模型'!N7</x:f>
        <x:v>28.479651839999995</x:v>
      </x:c>
      <x:c r="F38" s="178" t="n">
        <x:f>'机会模型'!O7</x:f>
        <x:v>34.76805120000001</x:v>
      </x:c>
      <x:c r="G38" s="190" t="n">
        <x:f>'机会输入'!C52</x:f>
        <x:v>0.7</x:v>
      </x:c>
      <x:c r="H38" s="190" t="n">
        <x:f>'机会输入'!D52</x:f>
        <x:v>0.8</x:v>
      </x:c>
      <x:c r="I38" s="190" t="n">
        <x:f>'机会输入'!E52</x:f>
        <x:v>0.8</x:v>
      </x:c>
      <x:c r="J38" s="190" t="n">
        <x:f>'机会输入'!F52</x:f>
        <x:v>0.8</x:v>
      </x:c>
      <x:c r="K38" s="190" t="n">
        <x:f>'机会输入'!G52</x:f>
        <x:v>0.8</x:v>
      </x:c>
      <x:c r="L38" s="178" t="n">
        <x:f>B38*G38</x:f>
        <x:v>1.33504</x:v>
      </x:c>
      <x:c r="M38" s="178" t="n">
        <x:f>C38*H38</x:f>
        <x:v>7.995392000000002</x:v>
      </x:c>
      <x:c r="N38" s="178" t="n">
        <x:f>D38*I38</x:f>
        <x:v>15.910502400000002</x:v>
      </x:c>
      <x:c r="O38" s="178" t="n">
        <x:f>E38*J38</x:f>
        <x:v>22.783721471999996</x:v>
      </x:c>
      <x:c r="P38" s="178" t="n">
        <x:f>F38*K38</x:f>
        <x:v>27.81444096000001</x:v>
      </x:c>
      <x:c r="Q38" s="177" t="str">
        <x:v>已有量产基础；按终端部署、客户验收、扩产与良率爬坡分年确认。</x:v>
      </x:c>
      <x:c r="R38" s="184"/>
    </x:row>
    <x:row r="39">
      <x:c r="A39" s="177" t="str">
        <x:v>FAU V 型槽阵列</x:v>
      </x:c>
      <x:c r="B39" s="178" t="n">
        <x:f>'机会模型'!K8</x:f>
        <x:v>0.9289727999999998</x:v>
      </x:c>
      <x:c r="C39" s="178" t="n">
        <x:f>'机会模型'!L8</x:f>
        <x:v>8.257535999999998</x:v>
      </x:c>
      <x:c r="D39" s="178" t="n">
        <x:f>'机会模型'!M8</x:f>
        <x:v>34.55778816</x:v>
      </x:c>
      <x:c r="E39" s="178" t="n">
        <x:f>'机会模型'!N8</x:f>
        <x:v>71.9902826496</x:v>
      </x:c>
      <x:c r="F39" s="178" t="n">
        <x:f>'机会模型'!O8</x:f>
        <x:v>110.52249513984002</x:v>
      </x:c>
      <x:c r="G39" s="190" t="n">
        <x:f>'机会输入'!C53</x:f>
        <x:v>0.5</x:v>
      </x:c>
      <x:c r="H39" s="190" t="n">
        <x:f>'机会输入'!D53</x:f>
        <x:v>0.7</x:v>
      </x:c>
      <x:c r="I39" s="190" t="n">
        <x:f>'机会输入'!E53</x:f>
        <x:v>0.8</x:v>
      </x:c>
      <x:c r="J39" s="190" t="n">
        <x:f>'机会输入'!F53</x:f>
        <x:v>0.8</x:v>
      </x:c>
      <x:c r="K39" s="190" t="n">
        <x:f>'机会输入'!G53</x:f>
        <x:v>0.8</x:v>
      </x:c>
      <x:c r="L39" s="178" t="n">
        <x:f>B39*G39</x:f>
        <x:v>0.4644863999999999</x:v>
      </x:c>
      <x:c r="M39" s="178" t="n">
        <x:f>C39*H39</x:f>
        <x:v>5.780275199999998</x:v>
      </x:c>
      <x:c r="N39" s="178" t="n">
        <x:f>D39*I39</x:f>
        <x:v>27.646230528000004</x:v>
      </x:c>
      <x:c r="O39" s="178" t="n">
        <x:f>E39*J39</x:f>
        <x:v>57.59222611968001</x:v>
      </x:c>
      <x:c r="P39" s="178" t="n">
        <x:f>F39*K39</x:f>
        <x:v>88.41799611187201</x:v>
      </x:c>
      <x:c r="Q39" s="177" t="str">
        <x:v>从定点、小批到量产；以设备安装、客户线体和高通道良率为约束。</x:v>
      </x:c>
      <x:c r="R39" s="184"/>
    </x:row>
    <x:row r="40">
      <x:c r="A40" s="177" t="str">
        <x:v>FAU 棱镜透镜阵列</x:v>
      </x:c>
      <x:c r="B40" s="178" t="n">
        <x:f>'机会模型'!K9</x:f>
        <x:v>1.327104</x:v>
      </x:c>
      <x:c r="C40" s="178" t="n">
        <x:f>'机会模型'!L9</x:f>
        <x:v>10.616832000000002</x:v>
      </x:c>
      <x:c r="D40" s="178" t="n">
        <x:f>'机会模型'!M9</x:f>
        <x:v>38.2205952</x:v>
      </x:c>
      <x:c r="E40" s="178" t="n">
        <x:f>'机会模型'!N9</x:f>
        <x:v>72.183177216</x:v>
      </x:c>
      <x:c r="F40" s="178" t="n">
        <x:f>'机会模型'!O9</x:f>
        <x:v>102.1636509696</x:v>
      </x:c>
      <x:c r="G40" s="190" t="n">
        <x:f>'机会输入'!C54</x:f>
        <x:v>0.5</x:v>
      </x:c>
      <x:c r="H40" s="190" t="n">
        <x:f>'机会输入'!D54</x:f>
        <x:v>0.7</x:v>
      </x:c>
      <x:c r="I40" s="190" t="n">
        <x:f>'机会输入'!E54</x:f>
        <x:v>0.8</x:v>
      </x:c>
      <x:c r="J40" s="190" t="n">
        <x:f>'机会输入'!F54</x:f>
        <x:v>0.8</x:v>
      </x:c>
      <x:c r="K40" s="190" t="n">
        <x:f>'机会输入'!G54</x:f>
        <x:v>0.8</x:v>
      </x:c>
      <x:c r="L40" s="178" t="n">
        <x:f>B40*G40</x:f>
        <x:v>0.663552</x:v>
      </x:c>
      <x:c r="M40" s="178" t="n">
        <x:f>C40*H40</x:f>
        <x:v>7.431782400000001</x:v>
      </x:c>
      <x:c r="N40" s="178" t="n">
        <x:f>D40*I40</x:f>
        <x:v>30.57647616</x:v>
      </x:c>
      <x:c r="O40" s="178" t="n">
        <x:f>E40*J40</x:f>
        <x:v>57.74654177280001</x:v>
      </x:c>
      <x:c r="P40" s="178" t="n">
        <x:f>F40*K40</x:f>
        <x:v>81.73092077568</x:v>
      </x:c>
      <x:c r="Q40" s="177" t="str">
        <x:v>FAU侧器件随客户线体放量；PIC端MPLA与FAU集成代工是后续产品延伸，尚未单列收入。</x:v>
      </x:c>
      <x:c r="R40" s="184"/>
    </x:row>
    <x:row r="41">
      <x:c r="A41" s="177" t="str">
        <x:v>外置激光器透镜＋热沉</x:v>
      </x:c>
      <x:c r="B41" s="178" t="n">
        <x:f>'机会模型'!K10</x:f>
        <x:v>0.73728</x:v>
      </x:c>
      <x:c r="C41" s="178" t="n">
        <x:f>'机会模型'!L10</x:f>
        <x:v>5.89824</x:v>
      </x:c>
      <x:c r="D41" s="178" t="n">
        <x:f>'机会模型'!M10</x:f>
        <x:v>14.794751999999999</x:v>
      </x:c>
      <x:c r="E41" s="178" t="n">
        <x:f>'机会模型'!N10</x:f>
        <x:v>23.688806400000004</x:v>
      </x:c>
      <x:c r="F41" s="178" t="n">
        <x:f>'机会模型'!O10</x:f>
        <x:v>30.385373184000002</x:v>
      </x:c>
      <x:c r="G41" s="190" t="n">
        <x:f>'机会输入'!C55</x:f>
        <x:v>0.5</x:v>
      </x:c>
      <x:c r="H41" s="190" t="n">
        <x:f>'机会输入'!D55</x:f>
        <x:v>0.7</x:v>
      </x:c>
      <x:c r="I41" s="190" t="n">
        <x:f>'机会输入'!E55</x:f>
        <x:v>0.8</x:v>
      </x:c>
      <x:c r="J41" s="190" t="n">
        <x:f>'机会输入'!F55</x:f>
        <x:v>0.8</x:v>
      </x:c>
      <x:c r="K41" s="190" t="n">
        <x:f>'机会输入'!G55</x:f>
        <x:v>0.8</x:v>
      </x:c>
      <x:c r="L41" s="178" t="n">
        <x:f>B41*G41</x:f>
        <x:v>0.36864</x:v>
      </x:c>
      <x:c r="M41" s="178" t="n">
        <x:f>C41*H41</x:f>
        <x:v>4.128768</x:v>
      </x:c>
      <x:c r="N41" s="178" t="n">
        <x:f>D41*I41</x:f>
        <x:v>11.8358016</x:v>
      </x:c>
      <x:c r="O41" s="178" t="n">
        <x:f>E41*J41</x:f>
        <x:v>18.951045120000003</x:v>
      </x:c>
      <x:c r="P41" s="178" t="n">
        <x:f>F41*K41</x:f>
        <x:v>24.308298547200003</x:v>
      </x:c>
      <x:c r="Q41" s="177" t="str">
        <x:v>跟随ELSFP/CPO客户定型与批量交付，将理论需求逐年兑现为收入。</x:v>
      </x:c>
      <x:c r="R41" s="184"/>
    </x:row>
    <x:row r="42">
      <x:c r="A42" s="177" t="str">
        <x:v>FAU 关键尺寸量测设备</x:v>
      </x:c>
      <x:c r="B42" s="178" t="n">
        <x:f>'机会模型'!K11</x:f>
        <x:v>0.04096</x:v>
      </x:c>
      <x:c r="C42" s="178" t="n">
        <x:f>'机会模型'!L11</x:f>
        <x:v>1.2288</x:v>
      </x:c>
      <x:c r="D42" s="178" t="n">
        <x:f>'机会模型'!M11</x:f>
        <x:v>5.3248</x:v>
      </x:c>
      <x:c r="E42" s="178" t="n">
        <x:f>'机会模型'!N11</x:f>
        <x:v>10.8256</x:v>
      </x:c>
      <x:c r="F42" s="178" t="n">
        <x:f>'机会模型'!O11</x:f>
        <x:v>17.448960000000003</x:v>
      </x:c>
      <x:c r="G42" s="190" t="n">
        <x:f>'机会输入'!C56</x:f>
        <x:v>0</x:v>
      </x:c>
      <x:c r="H42" s="190" t="n">
        <x:f>'机会输入'!D56</x:f>
        <x:v>0.5</x:v>
      </x:c>
      <x:c r="I42" s="190" t="n">
        <x:f>'机会输入'!E56</x:f>
        <x:v>0.7</x:v>
      </x:c>
      <x:c r="J42" s="190" t="n">
        <x:f>'机会输入'!F56</x:f>
        <x:v>0.7</x:v>
      </x:c>
      <x:c r="K42" s="190" t="n">
        <x:f>'机会输入'!G56</x:f>
        <x:v>0.7</x:v>
      </x:c>
      <x:c r="L42" s="178" t="n">
        <x:f>B42*G42</x:f>
        <x:v>0</x:v>
      </x:c>
      <x:c r="M42" s="178" t="n">
        <x:f>C42*H42</x:f>
        <x:v>0.6144</x:v>
      </x:c>
      <x:c r="N42" s="178" t="n">
        <x:f>D42*I42</x:f>
        <x:v>3.7273599999999996</x:v>
      </x:c>
      <x:c r="O42" s="178" t="n">
        <x:f>E42*J42</x:f>
        <x:v>7.577919999999999</x:v>
      </x:c>
      <x:c r="P42" s="178" t="n">
        <x:f>F42*K42</x:f>
        <x:v>12.214272000000001</x:v>
      </x:c>
      <x:c r="Q42" s="177" t="str">
        <x:v>按客户新增FAU产能、设备验收与交付周期确认。</x:v>
      </x:c>
      <x:c r="R42" s="184"/>
    </x:row>
    <x:row r="43">
      <x:c r="A43" s="197" t="str">
        <x:v>合计（亿元）</x:v>
      </x:c>
      <x:c r="B43" s="214" t="n">
        <x:f>SUM(B36:B42)</x:f>
        <x:v>6.2586368000000006</x:v>
      </x:c>
      <x:c r="C43" s="214" t="n">
        <x:f>SUM(C36:C42)</x:f>
        <x:v>41.247688000000004</x:v>
      </x:c>
      <x:c r="D43" s="214" t="n">
        <x:f>SUM(D36:D42)</x:f>
        <x:v>119.16886335999999</x:v>
      </x:c>
      <x:c r="E43" s="214" t="n">
        <x:f>SUM(E36:E42)</x:f>
        <x:v>214.0201181056</x:v>
      </x:c>
      <x:c r="F43" s="214" t="n">
        <x:f>SUM(F36:F42)</x:f>
        <x:v>301.63957849344</x:v>
      </x:c>
      <x:c r="G43" s="222"/>
      <x:c r="H43" s="222"/>
      <x:c r="I43" s="222"/>
      <x:c r="J43" s="222"/>
      <x:c r="K43" s="222"/>
      <x:c r="L43" s="214" t="n">
        <x:f>SUM(L36:L42)</x:f>
        <x:v>3.8854143999999997</x:v>
      </x:c>
      <x:c r="M43" s="214" t="n">
        <x:f>SUM(M36:M42)</x:f>
        <x:v>30.677453600000003</x:v>
      </x:c>
      <x:c r="N43" s="214" t="n">
        <x:f>SUM(N36:N42)</x:f>
        <x:v>95.44089068800001</x:v>
      </x:c>
      <x:c r="O43" s="214" t="n">
        <x:f>SUM(O36:O42)</x:f>
        <x:v>170.81879448448004</x:v>
      </x:c>
      <x:c r="P43" s="214" t="n">
        <x:f>SUM(P36:P42)</x:f>
        <x:v>240.20187159475202</x:v>
      </x:c>
      <x:c r="Q43" s="197" t="str">
        <x:v>逐产品兑现后的光通信收入</x:v>
      </x:c>
      <x:c r="R43" s="184"/>
    </x:row>
    <x:row r="44">
      <x:c r="A44" s="184"/>
      <x:c r="B44" s="184"/>
      <x:c r="C44" s="184"/>
      <x:c r="D44" s="184"/>
      <x:c r="E44" s="184"/>
      <x:c r="F44" s="184"/>
      <x:c r="G44" s="184"/>
      <x:c r="H44" s="184"/>
      <x:c r="I44" s="184"/>
      <x:c r="J44" s="184"/>
      <x:c r="K44" s="184"/>
      <x:c r="L44" s="184"/>
      <x:c r="M44" s="184"/>
      <x:c r="N44" s="184"/>
      <x:c r="O44" s="184"/>
      <x:c r="P44" s="184"/>
      <x:c r="Q44" s="184"/>
      <x:c r="R44" s="184"/>
    </x:row>
    <x:row r="45">
      <x:c r="A45" s="176" t="str">
        <x:v>公司营业收入情景</x:v>
      </x:c>
      <x:c r="B45" s="176" t="str">
        <x:v>2026E</x:v>
      </x:c>
      <x:c r="C45" s="176" t="str">
        <x:v>2027E</x:v>
      </x:c>
      <x:c r="D45" s="176" t="str">
        <x:v>2028E</x:v>
      </x:c>
      <x:c r="E45" s="176" t="str">
        <x:v>2029E</x:v>
      </x:c>
      <x:c r="F45" s="176" t="str">
        <x:v>2030E</x:v>
      </x:c>
      <x:c r="G45" s="184"/>
      <x:c r="H45" s="176" t="str">
        <x:v>归母净利情景</x:v>
      </x:c>
      <x:c r="I45" s="176" t="str">
        <x:v>2026E</x:v>
      </x:c>
      <x:c r="J45" s="176" t="str">
        <x:v>2027E</x:v>
      </x:c>
      <x:c r="K45" s="176" t="str">
        <x:v>2028E</x:v>
      </x:c>
      <x:c r="L45" s="176" t="str">
        <x:v>2029E</x:v>
      </x:c>
      <x:c r="M45" s="176" t="str">
        <x:v>2030E</x:v>
      </x:c>
      <x:c r="N45" s="184"/>
      <x:c r="O45" s="184"/>
      <x:c r="P45" s="184"/>
      <x:c r="Q45" s="184"/>
      <x:c r="R45" s="184"/>
    </x:row>
    <x:row r="46">
      <x:c r="A46" s="177" t="str">
        <x:v>审慎情形</x:v>
      </x:c>
      <x:c r="B46" s="178" t="n">
        <x:f>SUMPRODUCT('机会模型'!E5:E11,'机会输入'!C43:C49)+SUM(B5:B6)+SUM(B8:B11)</x:f>
        <x:v>10.26946336</x:v>
      </x:c>
      <x:c r="C46" s="178" t="n">
        <x:f>SUMPRODUCT('机会模型'!F5:F11,'机会输入'!D43:D49)+SUM(C5:C6)+SUM(C8:C11)</x:f>
        <x:v>32.48210954666667</x:v>
      </x:c>
      <x:c r="D46" s="178" t="n">
        <x:f>SUMPRODUCT('机会模型'!G5:G11,'机会输入'!E43:E49)+SUM(D5:D6)+SUM(D8:D11)</x:f>
        <x:v>83.75102152848001</x:v>
      </x:c>
      <x:c r="E46" s="178" t="n">
        <x:f>SUMPRODUCT('机会模型'!H5:H11,'机会输入'!F43:F49)+SUM(E5:E6)+SUM(E8:E11)</x:f>
        <x:v>147.6797298988352</x:v>
      </x:c>
      <x:c r="F46" s="178" t="n">
        <x:f>SUMPRODUCT('机会模型'!I5:I11,'机会输入'!G43:G49)+SUM(F5:F6)+SUM(F8:F11)</x:f>
        <x:v>204.10537754951815</x:v>
      </x:c>
      <x:c r="G46" s="184"/>
      <x:c r="H46" s="177" t="str">
        <x:v>审慎情形</x:v>
      </x:c>
      <x:c r="I46" s="178" t="n">
        <x:f>((SUMPRODUCT(B5:B6,G5:G6)+SUMPRODUCT(B8:B11,G8:G11)+(B46-SUM(B5:B6)-SUM(B8:B11))*G7)-B46*(-(B17+B18+B19+B20+B21)/B14)+B22+B25)-MAX(0,((SUMPRODUCT(B5:B6,G5:G6)+SUMPRODUCT(B8:B11,G8:G11)+(B46-SUM(B5:B6)-SUM(B8:B11))*G7)-B46*(-(B17+B18+B19+B20+B21)/B14)+B22+B25))*'机会输入'!C76</x:f>
        <x:v>0.5720806697600007</x:v>
      </x:c>
      <x:c r="J46" s="178" t="n">
        <x:f>((SUMPRODUCT(C5:C6,H5:H6)+SUMPRODUCT(C8:C11,H8:H11)+(C46-SUM(C5:C6)-SUM(C8:C11))*H7)-C46*(-(C17+C18+C19+C20+C21)/C14)+C22+C25)-MAX(0,((SUMPRODUCT(C5:C6,H5:H6)+SUMPRODUCT(C8:C11,H8:H11)+(C46-SUM(C5:C6)-SUM(C8:C11))*H7)-C46*(-(C17+C18+C19+C20+C21)/C14)+C22+C25))*'机会输入'!D76</x:f>
        <x:v>6.586511486040002</x:v>
      </x:c>
      <x:c r="K46" s="178" t="n">
        <x:f>((SUMPRODUCT(D5:D6,I5:I6)+SUMPRODUCT(D8:D11,I8:I11)+(D46-SUM(D5:D6)-SUM(D8:D11))*I7)-D46*(-(D17+D18+D19+D20+D21)/D14)+D22+D25)-MAX(0,((SUMPRODUCT(D5:D6,I5:I6)+SUMPRODUCT(D8:D11,I8:I11)+(D46-SUM(D5:D6)-SUM(D8:D11))*I7)-D46*(-(D17+D18+D19+D20+D21)/D14)+D22+D25))*'机会输入'!E76</x:f>
        <x:v>23.704753896864485</x:v>
      </x:c>
      <x:c r="L46" s="178" t="n">
        <x:f>((SUMPRODUCT(E5:E6,J5:J6)+SUMPRODUCT(E8:E11,J8:J11)+(E46-SUM(E5:E6)-SUM(E8:E11))*J7)-E46*(-(E17+E18+E19+E20+E21)/E14)+E22+E25)-MAX(0,((SUMPRODUCT(E5:E6,J5:J6)+SUMPRODUCT(E8:E11,J8:J11)+(E46-SUM(E5:E6)-SUM(E8:E11))*J7)-E46*(-(E17+E18+E19+E20+E21)/E14)+E22+E25))*'机会输入'!F76</x:f>
        <x:v>44.6751595473397</x:v>
      </x:c>
      <x:c r="M46" s="178" t="n">
        <x:f>((SUMPRODUCT(F5:F6,K5:K6)+SUMPRODUCT(F8:F11,K8:K11)+(F46-SUM(F5:F6)-SUM(F8:F11))*K7)-F46*(-(F17+F18+F19+F20+F21)/F14)+F22+F25)-MAX(0,((SUMPRODUCT(F5:F6,K5:K6)+SUMPRODUCT(F8:F11,K8:K11)+(F46-SUM(F5:F6)-SUM(F8:F11))*K7)-F46*(-(F17+F18+F19+F20+F21)/F14)+F22+F25))*'机会输入'!G76</x:f>
        <x:v>64.76185461083108</x:v>
      </x:c>
      <x:c r="N46" s="184"/>
      <x:c r="O46" s="184"/>
      <x:c r="P46" s="184"/>
      <x:c r="Q46" s="184"/>
      <x:c r="R46" s="184"/>
    </x:row>
    <x:row r="47">
      <x:c r="A47" s="177" t="str">
        <x:v>基准情形</x:v>
      </x:c>
      <x:c r="B47" s="178" t="n">
        <x:f>SUMPRODUCT('机会模型'!K5:K11,'机会输入'!C50:C56)+SUM(B5:B6)+SUM(B8:B11)</x:f>
        <x:v>11.3114144</x:v>
      </x:c>
      <x:c r="C47" s="178" t="n">
        <x:f>SUMPRODUCT('机会模型'!L5:L11,'机会输入'!D50:D56)+SUM(C5:C6)+SUM(C8:C11)</x:f>
        <x:v>39.989853600000004</x:v>
      </x:c>
      <x:c r="D47" s="178" t="n">
        <x:f>SUMPRODUCT('机会模型'!M5:M11,'机会输入'!E50:E56)+SUM(D5:D6)+SUM(D8:D11)</x:f>
        <x:v>107.689760688</x:v>
      </x:c>
      <x:c r="E47" s="178" t="n">
        <x:f>SUMPRODUCT('机会模型'!N5:N11,'机会输入'!F50:F56)+SUM(E5:E6)+SUM(E8:E11)</x:f>
        <x:v>184.96422548448004</x:v>
      </x:c>
      <x:c r="F47" s="178" t="n">
        <x:f>SUMPRODUCT('机会模型'!O5:O11,'机会输入'!G50:G56)+SUM(F5:F6)+SUM(F8:F11)</x:f>
        <x:v>256.108988794752</x:v>
      </x:c>
      <x:c r="G47" s="184"/>
      <x:c r="H47" s="177" t="str">
        <x:v>基准情形</x:v>
      </x:c>
      <x:c r="I47" s="178" t="n">
        <x:f>((SUMPRODUCT(B5:B6,G5:G6)+SUMPRODUCT(B8:B11,G8:G11)+(B47-SUM(B5:B6)-SUM(B8:B11))*G7)-B47*(-(B17+B18+B19+B20+B21)/B14)+B22+B25)-MAX(0,((SUMPRODUCT(B5:B6,G5:G6)+SUMPRODUCT(B8:B11,G8:G11)+(B47-SUM(B5:B6)-SUM(B8:B11))*G7)-B47*(-(B17+B18+B19+B20+B21)/B14)+B22+B25))*'机会输入'!C76</x:f>
        <x:v>0.8231908704000006</x:v>
      </x:c>
      <x:c r="J47" s="178" t="n">
        <x:f>((SUMPRODUCT(C5:C6,H5:H6)+SUMPRODUCT(C8:C11,H8:H11)+(C47-SUM(C5:C6)-SUM(C8:C11))*H7)-C47*(-(C17+C18+C19+C20+C21)/C14)+C22+C25)-MAX(0,((SUMPRODUCT(C5:C6,H5:H6)+SUMPRODUCT(C8:C11,H8:H11)+(C47-SUM(C5:C6)-SUM(C8:C11))*H7)-C47*(-(C17+C18+C19+C20+C21)/C14)+C22+C25))*'机会输入'!D76</x:f>
        <x:v>8.453124351300003</x:v>
      </x:c>
      <x:c r="K47" s="178" t="n">
        <x:f>((SUMPRODUCT(D5:D6,I5:I6)+SUMPRODUCT(D8:D11,I8:I11)+(D47-SUM(D5:D6)-SUM(D8:D11))*I7)-D47*(-(D17+D18+D19+D20+D21)/D14)+D22+D25)-MAX(0,((SUMPRODUCT(D5:D6,I5:I6)+SUMPRODUCT(D8:D11,I8:I11)+(D47-SUM(D5:D6)-SUM(D8:D11))*I7)-D47*(-(D17+D18+D19+D20+D21)/D14)+D22+D25))*'机会输入'!E76</x:f>
        <x:v>31.040182043820398</x:v>
      </x:c>
      <x:c r="L47" s="178" t="n">
        <x:f>((SUMPRODUCT(E5:E6,J5:J6)+SUMPRODUCT(E8:E11,J8:J11)+(E47-SUM(E5:E6)-SUM(E8:E11))*J7)-E47*(-(E17+E18+E19+E20+E21)/E14)+E22+E25)-MAX(0,((SUMPRODUCT(E5:E6,J5:J6)+SUMPRODUCT(E8:E11,J8:J11)+(E47-SUM(E5:E6)-SUM(E8:E11))*J7)-E47*(-(E17+E18+E19+E20+E21)/E14)+E22+E25))*'机会输入'!F76</x:f>
        <x:v>56.5279006940162</x:v>
      </x:c>
      <x:c r="M47" s="178" t="n">
        <x:f>((SUMPRODUCT(F5:F6,K5:K6)+SUMPRODUCT(F8:F11,K8:K11)+(F47-SUM(F5:F6)-SUM(F8:F11))*K7)-F47*(-(F17+F18+F19+F20+F21)/F14)+F22+F25)-MAX(0,((SUMPRODUCT(F5:F6,K5:K6)+SUMPRODUCT(F8:F11,K8:K11)+(F47-SUM(F5:F6)-SUM(F8:F11))*K7)-F47*(-(F17+F18+F19+F20+F21)/F14)+F22+F25))*'机会输入'!G76</x:f>
        <x:v>81.91264559950922</x:v>
      </x:c>
      <x:c r="N47" s="184"/>
      <x:c r="O47" s="184"/>
      <x:c r="P47" s="184"/>
      <x:c r="Q47" s="184"/>
      <x:c r="R47" s="184"/>
    </x:row>
    <x:row r="48">
      <x:c r="A48" s="177" t="str">
        <x:v>乐观情形</x:v>
      </x:c>
      <x:c r="B48" s="178" t="n">
        <x:f>SUMPRODUCT('机会模型'!Q5:Q11,'机会输入'!C57:C63)+SUM(B5:B6)+SUM(B8:B11)</x:f>
        <x:v>12.28284992</x:v>
      </x:c>
      <x:c r="C48" s="178" t="n">
        <x:f>SUMPRODUCT('机会模型'!R5:R11,'机会输入'!D57:D63)+SUM(C5:C6)+SUM(C8:C11)</x:f>
        <x:v>46.77619077333334</x:v>
      </x:c>
      <x:c r="D48" s="178" t="n">
        <x:f>SUMPRODUCT('机会模型'!S5:S11,'机会输入'!E57:E63)+SUM(D5:D6)+SUM(D8:D11)</x:f>
        <x:v>126.99416825088004</x:v>
      </x:c>
      <x:c r="E48" s="178" t="n">
        <x:f>SUMPRODUCT('机会模型'!T5:T11,'机会输入'!F57:F63)+SUM(E5:E6)+SUM(E8:E11)</x:f>
        <x:v>218.24336677409283</x:v>
      </x:c>
      <x:c r="F48" s="178" t="n">
        <x:f>SUMPRODUCT('机会模型'!U5:U11,'机会输入'!G57:G63)+SUM(F5:F6)+SUM(F8:F11)</x:f>
        <x:v>302.1503633027251</x:v>
      </x:c>
      <x:c r="G48" s="184"/>
      <x:c r="H48" s="177" t="str">
        <x:v>乐观情形</x:v>
      </x:c>
      <x:c r="I48" s="178" t="n">
        <x:f>((SUMPRODUCT(B5:B6,G5:G6)+SUMPRODUCT(B8:B11,G8:G11)+(B48-SUM(B5:B6)-SUM(B8:B11))*G7)-B48*(-(B17+B18+B19+B20+B21)/B14)+B22+B25)-MAX(0,((SUMPRODUCT(B5:B6,G5:G6)+SUMPRODUCT(B8:B11,G8:G11)+(B48-SUM(B5:B6)-SUM(B8:B11))*G7)-B48*(-(B17+B18+B19+B20+B21)/B14)+B22+B25))*'机会输入'!C76</x:f>
        <x:v>1.0573068307200002</x:v>
      </x:c>
      <x:c r="J48" s="178" t="n">
        <x:f>((SUMPRODUCT(C5:C6,H5:H6)+SUMPRODUCT(C8:C11,H8:H11)+(C48-SUM(C5:C6)-SUM(C8:C11))*H7)-C48*(-(C17+C18+C19+C20+C21)/C14)+C22+C25)-MAX(0,((SUMPRODUCT(C5:C6,H5:H6)+SUMPRODUCT(C8:C11,H8:H11)+(C48-SUM(C5:C6)-SUM(C8:C11))*H7)-C48*(-(C17+C18+C19+C20+C21)/C14)+C22+C25))*'机会输入'!D76</x:f>
        <x:v>10.140377431020003</x:v>
      </x:c>
      <x:c r="K48" s="178" t="n">
        <x:f>((SUMPRODUCT(D5:D6,I5:I6)+SUMPRODUCT(D8:D11,I8:I11)+(D48-SUM(D5:D6)-SUM(D8:D11))*I7)-D48*(-(D17+D18+D19+D20+D21)/D14)+D22+D25)-MAX(0,((SUMPRODUCT(D5:D6,I5:I6)+SUMPRODUCT(D8:D11,I8:I11)+(D48-SUM(D5:D6)-SUM(D8:D11))*I7)-D48*(-(D17+D18+D19+D20+D21)/D14)+D22+D25))*'机会输入'!E76</x:f>
        <x:v>36.9555351312759</x:v>
      </x:c>
      <x:c r="L48" s="178" t="n">
        <x:f>((SUMPRODUCT(E5:E6,J5:J6)+SUMPRODUCT(E8:E11,J8:J11)+(E48-SUM(E5:E6)-SUM(E8:E11))*J7)-E48*(-(E17+E18+E19+E20+E21)/E14)+E22+E25)-MAX(0,((SUMPRODUCT(E5:E6,J5:J6)+SUMPRODUCT(E8:E11,J8:J11)+(E48-SUM(E5:E6)-SUM(E8:E11))*J7)-E48*(-(E17+E18+E19+E20+E21)/E14)+E22+E25))*'机会输入'!F76</x:f>
        <x:v>67.10733970998412</x:v>
      </x:c>
      <x:c r="M48" s="178" t="n">
        <x:f>((SUMPRODUCT(F5:F6,K5:K6)+SUMPRODUCT(F8:F11,K8:K11)+(F48-SUM(F5:F6)-SUM(F8:F11))*K7)-F48*(-(F17+F18+F19+F20+F21)/F14)+F22+F25)-MAX(0,((SUMPRODUCT(F5:F6,K5:K6)+SUMPRODUCT(F8:F11,K8:K11)+(F48-SUM(F5:F6)-SUM(F8:F11))*K7)-F48*(-(F17+F18+F19+F20+F21)/F14)+F22+F25))*'机会输入'!G76</x:f>
        <x:v>97.09709091223877</x:v>
      </x:c>
      <x:c r="N48" s="184"/>
      <x:c r="O48" s="184"/>
      <x:c r="P48" s="184"/>
      <x:c r="Q48" s="184"/>
      <x:c r="R48" s="184"/>
    </x:row>
    <x:row r="49">
      <x:c r="A49" s="184"/>
      <x:c r="B49" s="184"/>
      <x:c r="C49" s="184"/>
      <x:c r="D49" s="184"/>
      <x:c r="E49" s="184"/>
      <x:c r="F49" s="184"/>
      <x:c r="G49" s="184"/>
      <x:c r="H49" s="184"/>
      <x:c r="I49" s="184"/>
      <x:c r="J49" s="184"/>
      <x:c r="K49" s="184"/>
      <x:c r="L49" s="184"/>
      <x:c r="M49" s="184"/>
      <x:c r="N49" s="184"/>
      <x:c r="O49" s="184"/>
      <x:c r="P49" s="184"/>
      <x:c r="Q49" s="184"/>
      <x:c r="R49" s="184"/>
    </x:row>
    <x:row r="50" ht="42" customHeight="1">
      <x:c r="A50" s="198" t="str">
        <x:v>预测链条：行业组件空间→公司理论预估收入→按产品兑现收入→公司收入→分部毛利润→归母净利润→PE估值。份额只在理论收入中计入一次，兑现率仅描述交付实现程度。</x:v>
      </x:c>
      <x:c r="B50" s="198"/>
      <x:c r="C50" s="198"/>
      <x:c r="D50" s="198"/>
      <x:c r="E50" s="198"/>
      <x:c r="F50" s="198"/>
      <x:c r="G50" s="198"/>
      <x:c r="H50" s="198"/>
      <x:c r="I50" s="198"/>
      <x:c r="J50" s="198"/>
      <x:c r="K50" s="198"/>
      <x:c r="L50" s="198"/>
      <x:c r="M50" s="198"/>
      <x:c r="N50" s="198"/>
      <x:c r="O50" s="198"/>
      <x:c r="P50" s="198"/>
      <x:c r="Q50" s="198"/>
      <x:c r="R50" s="184"/>
    </x:row>
    <x:row r="51">
      <x:c r="A51" s="184"/>
      <x:c r="B51" s="184"/>
      <x:c r="C51" s="184"/>
      <x:c r="D51" s="184"/>
      <x:c r="E51" s="184"/>
      <x:c r="F51" s="184"/>
      <x:c r="G51" s="184"/>
      <x:c r="H51" s="184"/>
      <x:c r="I51" s="184"/>
      <x:c r="J51" s="184"/>
      <x:c r="K51" s="184"/>
      <x:c r="L51" s="184"/>
      <x:c r="M51" s="184"/>
      <x:c r="N51" s="184"/>
      <x:c r="O51" s="184"/>
      <x:c r="P51" s="184"/>
      <x:c r="Q51" s="184"/>
      <x:c r="R51" s="184"/>
    </x:row>
    <x:row r="52">
      <x:c r="A52" s="184"/>
      <x:c r="B52" s="184"/>
      <x:c r="C52" s="184"/>
      <x:c r="D52" s="184"/>
      <x:c r="E52" s="184"/>
      <x:c r="F52" s="184"/>
      <x:c r="G52" s="184"/>
      <x:c r="H52" s="184"/>
      <x:c r="I52" s="184"/>
      <x:c r="J52" s="184"/>
      <x:c r="K52" s="184"/>
      <x:c r="L52" s="184"/>
      <x:c r="M52" s="184"/>
      <x:c r="N52" s="184"/>
      <x:c r="O52" s="184"/>
      <x:c r="P52" s="184"/>
      <x:c r="Q52" s="184"/>
      <x:c r="R52" s="184"/>
    </x:row>
    <x:row r="53">
      <x:c r="A53" s="184"/>
      <x:c r="B53" s="184"/>
      <x:c r="C53" s="184"/>
      <x:c r="D53" s="184"/>
      <x:c r="E53" s="184"/>
      <x:c r="F53" s="184"/>
      <x:c r="G53" s="184"/>
      <x:c r="H53" s="184"/>
      <x:c r="I53" s="184"/>
      <x:c r="J53" s="184"/>
      <x:c r="K53" s="184"/>
      <x:c r="L53" s="184"/>
      <x:c r="M53" s="184"/>
      <x:c r="N53" s="184"/>
      <x:c r="O53" s="184"/>
      <x:c r="P53" s="184"/>
      <x:c r="Q53" s="184"/>
      <x:c r="R53" s="184"/>
    </x:row>
    <x:row r="54">
      <x:c r="A54" s="184"/>
      <x:c r="B54" s="184"/>
      <x:c r="C54" s="184"/>
      <x:c r="D54" s="184"/>
      <x:c r="E54" s="184"/>
      <x:c r="F54" s="184"/>
      <x:c r="G54" s="184"/>
      <x:c r="H54" s="176" t="str">
        <x:v>年度</x:v>
      </x:c>
      <x:c r="I54" s="176" t="str">
        <x:v>营业收入</x:v>
      </x:c>
      <x:c r="J54" s="176" t="str">
        <x:v>毛利润</x:v>
      </x:c>
      <x:c r="K54" s="184"/>
      <x:c r="L54" s="184"/>
      <x:c r="M54" s="184"/>
      <x:c r="N54" s="184"/>
      <x:c r="O54" s="184"/>
      <x:c r="P54" s="184"/>
      <x:c r="Q54" s="184"/>
      <x:c r="R54" s="184"/>
    </x:row>
    <x:row r="55">
      <x:c r="A55" s="184"/>
      <x:c r="B55" s="184"/>
      <x:c r="C55" s="184"/>
      <x:c r="D55" s="184"/>
      <x:c r="E55" s="184"/>
      <x:c r="F55" s="184"/>
      <x:c r="G55" s="184"/>
      <x:c r="H55" s="177" t="str">
        <x:f>"2026E"</x:f>
        <x:v>2026E</x:v>
      </x:c>
      <x:c r="I55" s="195" t="n">
        <x:f>B14</x:f>
        <x:v>11.3114144</x:v>
      </x:c>
      <x:c r="J55" s="195" t="n">
        <x:f>B15</x:f>
        <x:v>5.503988639999999</x:v>
      </x:c>
      <x:c r="K55" s="184"/>
      <x:c r="L55" s="184"/>
      <x:c r="M55" s="184"/>
      <x:c r="N55" s="184"/>
      <x:c r="O55" s="184"/>
      <x:c r="P55" s="184"/>
      <x:c r="Q55" s="184"/>
      <x:c r="R55" s="184"/>
    </x:row>
    <x:row r="56">
      <x:c r="A56" s="184"/>
      <x:c r="B56" s="184"/>
      <x:c r="C56" s="184"/>
      <x:c r="D56" s="184"/>
      <x:c r="E56" s="184"/>
      <x:c r="F56" s="184"/>
      <x:c r="G56" s="184"/>
      <x:c r="H56" s="177" t="str">
        <x:f>"2027E"</x:f>
        <x:v>2027E</x:v>
      </x:c>
      <x:c r="I56" s="195" t="n">
        <x:f>C14</x:f>
        <x:v>39.989853600000004</x:v>
      </x:c>
      <x:c r="J56" s="195" t="n">
        <x:f>C15</x:f>
        <x:v>22.32173216</x:v>
      </x:c>
      <x:c r="K56" s="184"/>
      <x:c r="L56" s="184"/>
      <x:c r="M56" s="184"/>
      <x:c r="N56" s="184"/>
      <x:c r="O56" s="184"/>
      <x:c r="P56" s="184"/>
      <x:c r="Q56" s="184"/>
      <x:c r="R56" s="184"/>
    </x:row>
    <x:row r="57">
      <x:c r="A57" s="184"/>
      <x:c r="B57" s="184"/>
      <x:c r="C57" s="184"/>
      <x:c r="D57" s="184"/>
      <x:c r="E57" s="184"/>
      <x:c r="F57" s="184"/>
      <x:c r="G57" s="184"/>
      <x:c r="H57" s="177" t="str">
        <x:f>"2028E"</x:f>
        <x:v>2028E</x:v>
      </x:c>
      <x:c r="I57" s="195" t="n">
        <x:f>D14</x:f>
        <x:v>107.689760688</x:v>
      </x:c>
      <x:c r="J57" s="195" t="n">
        <x:f>D15</x:f>
        <x:v>62.2895589128</x:v>
      </x:c>
      <x:c r="K57" s="184"/>
      <x:c r="L57" s="184"/>
      <x:c r="M57" s="184"/>
      <x:c r="N57" s="184"/>
      <x:c r="O57" s="184"/>
      <x:c r="P57" s="184"/>
      <x:c r="Q57" s="184"/>
      <x:c r="R57" s="184"/>
    </x:row>
    <x:row r="58">
      <x:c r="A58" s="184"/>
      <x:c r="B58" s="184"/>
      <x:c r="C58" s="184"/>
      <x:c r="D58" s="184"/>
      <x:c r="E58" s="184"/>
      <x:c r="F58" s="184"/>
      <x:c r="G58" s="184"/>
      <x:c r="H58" s="177" t="str">
        <x:f>"2029E"</x:f>
        <x:v>2029E</x:v>
      </x:c>
      <x:c r="I58" s="195" t="n">
        <x:f>E14</x:f>
        <x:v>184.96422548448004</x:v>
      </x:c>
      <x:c r="J58" s="195" t="n">
        <x:f>E15</x:f>
        <x:v>108.24532754068804</x:v>
      </x:c>
      <x:c r="K58" s="184"/>
      <x:c r="L58" s="184"/>
      <x:c r="M58" s="184"/>
      <x:c r="N58" s="184"/>
      <x:c r="O58" s="184"/>
      <x:c r="P58" s="184"/>
      <x:c r="Q58" s="184"/>
      <x:c r="R58" s="184"/>
    </x:row>
    <x:row r="59">
      <x:c r="A59" s="184"/>
      <x:c r="B59" s="184"/>
      <x:c r="C59" s="184"/>
      <x:c r="D59" s="184"/>
      <x:c r="E59" s="184"/>
      <x:c r="F59" s="184"/>
      <x:c r="G59" s="184"/>
      <x:c r="H59" s="177" t="str">
        <x:f>"2030E"</x:f>
        <x:v>2030E</x:v>
      </x:c>
      <x:c r="I59" s="195" t="n">
        <x:f>F14</x:f>
        <x:v>256.108988794752</x:v>
      </x:c>
      <x:c r="J59" s="195" t="n">
        <x:f>F15</x:f>
        <x:v>150.56292397685118</x:v>
      </x:c>
      <x:c r="K59" s="184"/>
      <x:c r="L59" s="184"/>
      <x:c r="M59" s="184"/>
      <x:c r="N59" s="184"/>
      <x:c r="O59" s="184"/>
      <x:c r="P59" s="184"/>
      <x:c r="Q59" s="184"/>
      <x:c r="R59" s="184"/>
    </x:row>
    <x:row r="60">
      <x:c r="A60" s="184"/>
      <x:c r="B60" s="184"/>
      <x:c r="C60" s="184"/>
      <x:c r="D60" s="184"/>
      <x:c r="E60" s="184"/>
      <x:c r="F60" s="184"/>
      <x:c r="G60" s="184"/>
      <x:c r="H60" s="184"/>
      <x:c r="I60" s="184"/>
      <x:c r="J60" s="184"/>
      <x:c r="K60" s="184"/>
      <x:c r="L60" s="184"/>
      <x:c r="M60" s="184"/>
      <x:c r="N60" s="184"/>
      <x:c r="O60" s="184"/>
      <x:c r="P60" s="184"/>
      <x:c r="Q60" s="184"/>
      <x:c r="R60" s="184"/>
    </x:row>
    <x:row r="61">
      <x:c r="A61" s="184"/>
      <x:c r="B61" s="184"/>
      <x:c r="C61" s="184"/>
      <x:c r="D61" s="184"/>
      <x:c r="E61" s="184"/>
      <x:c r="F61" s="184"/>
      <x:c r="G61" s="184"/>
      <x:c r="H61" s="184"/>
      <x:c r="I61" s="184"/>
      <x:c r="J61" s="184"/>
      <x:c r="K61" s="184"/>
      <x:c r="L61" s="184"/>
      <x:c r="M61" s="184"/>
      <x:c r="N61" s="184"/>
      <x:c r="O61" s="184"/>
      <x:c r="P61" s="184"/>
      <x:c r="Q61" s="184"/>
      <x:c r="R61" s="189" t="str">
        <x:v> </x:v>
      </x:c>
    </x:row>
  </x:sheetData>
  <x:mergeCells>
    <x:mergeCell ref="A1:Q1"/>
    <x:mergeCell ref="A2:Q2"/>
    <x:mergeCell ref="L4:Q4"/>
    <x:mergeCell ref="L5:Q5"/>
    <x:mergeCell ref="L6:Q6"/>
    <x:mergeCell ref="L7:Q7"/>
    <x:mergeCell ref="L8:Q8"/>
    <x:mergeCell ref="L9:Q9"/>
    <x:mergeCell ref="L10:Q10"/>
    <x:mergeCell ref="L11:Q11"/>
    <x:mergeCell ref="A33:Q33"/>
    <x:mergeCell ref="A50:Q50"/>
  </x:mergeCells>
  <x:pageMargins left="0.7" right="0.7" top="0.75" bottom="0.75" header="0.3" footer="0.3"/>
  <x:drawing xmlns:r="http://schemas.openxmlformats.org/officeDocument/2006/relationships" r:id="R4fd574e6c4db4d67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48" hidden="0" customWidth="1"/>
  </x:cols>
  <x:sheetData>
    <x:row r="1" ht="32" customHeight="1">
      <x:c r="A1" s="172" t="str">
        <x:v>估值模型：三情形合并盈利PE敏感性</x:v>
      </x:c>
      <x:c r="B1" s="172"/>
      <x:c r="C1" s="172"/>
      <x:c r="D1" s="172"/>
      <x:c r="E1" s="172"/>
      <x:c r="F1" s="172"/>
      <x:c r="G1" s="172"/>
      <x:c r="H1" s="172"/>
      <x:c r="I1" s="184"/>
    </x:row>
    <x:row r="2" ht="28" customHeight="1">
      <x:c r="A2" s="174" t="str">
        <x:v>估值与情景联动；每个单元格均使用该情景的2028E合并归母净利，不使用理论产品净利。</x:v>
      </x:c>
      <x:c r="B2" s="174"/>
      <x:c r="C2" s="174"/>
      <x:c r="D2" s="174"/>
      <x:c r="E2" s="174"/>
      <x:c r="F2" s="174"/>
      <x:c r="G2" s="174"/>
      <x:c r="H2" s="174"/>
      <x:c r="I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</x:row>
    <x:row r="4">
      <x:c r="A4" s="176" t="str">
        <x:v>情形</x:v>
      </x:c>
      <x:c r="B4" s="176" t="str">
        <x:v>2028E合并归母净利</x:v>
      </x:c>
      <x:c r="C4" s="176" t="str">
        <x:v>25x每股价值</x:v>
      </x:c>
      <x:c r="D4" s="176" t="str">
        <x:v>30x每股价值</x:v>
      </x:c>
      <x:c r="E4" s="176" t="str">
        <x:v>35x每股价值</x:v>
      </x:c>
      <x:c r="F4" s="176" t="str">
        <x:v>口径</x:v>
      </x:c>
      <x:c r="G4" s="184"/>
      <x:c r="H4" s="184"/>
      <x:c r="I4" s="184"/>
    </x:row>
    <x:row r="5">
      <x:c r="A5" s="177" t="str">
        <x:v>审慎情形</x:v>
      </x:c>
      <x:c r="B5" s="178" t="n">
        <x:f>'合并预测'!K46</x:f>
        <x:v>23.704753896864485</x:v>
      </x:c>
      <x:c r="C5" s="178" t="n">
        <x:f>B5*$E$18/(1+$B$18)^$B$19/$B$20</x:f>
        <x:v>390.4096825362538</x:v>
      </x:c>
      <x:c r="D5" s="178" t="n">
        <x:f>B5*$E$19/(1+$B$18)^$B$19/$B$20</x:f>
        <x:v>468.49161904350456</x:v>
      </x:c>
      <x:c r="E5" s="178" t="n">
        <x:f>B5*$E$20/(1+$B$18)^$B$19/$B$20</x:f>
        <x:v>546.5735555507553</x:v>
      </x:c>
      <x:c r="F5" s="177" t="str">
        <x:v>2028E净利×PE，8%折现至2026年末，1.30138971亿股</x:v>
      </x:c>
      <x:c r="G5" s="184"/>
      <x:c r="H5" s="184"/>
      <x:c r="I5" s="184"/>
    </x:row>
    <x:row r="6">
      <x:c r="A6" s="177" t="str">
        <x:v>基准情形</x:v>
      </x:c>
      <x:c r="B6" s="178" t="n">
        <x:f>'合并预测'!K47</x:f>
        <x:v>31.040182043820398</x:v>
      </x:c>
      <x:c r="C6" s="178" t="n">
        <x:f>B6*$E$18/(1+$B$18)^$B$19/$B$20</x:f>
        <x:v>511.2218279219676</x:v>
      </x:c>
      <x:c r="D6" s="178" t="n">
        <x:f>B6*$E$19/(1+$B$18)^$B$19/$B$20</x:f>
        <x:v>613.4661935063612</x:v>
      </x:c>
      <x:c r="E6" s="178" t="n">
        <x:f>B6*$E$20/(1+$B$18)^$B$19/$B$20</x:f>
        <x:v>715.7105590907546</x:v>
      </x:c>
      <x:c r="F6" s="177" t="str">
        <x:v>2028E净利×PE，8%折现至2026年末，1.30138971亿股</x:v>
      </x:c>
      <x:c r="G6" s="184"/>
      <x:c r="H6" s="184"/>
      <x:c r="I6" s="184"/>
    </x:row>
    <x:row r="7">
      <x:c r="A7" s="177" t="str">
        <x:v>乐观情形</x:v>
      </x:c>
      <x:c r="B7" s="178" t="n">
        <x:f>'合并预测'!K48</x:f>
        <x:v>36.9555351312759</x:v>
      </x:c>
      <x:c r="C7" s="178" t="n">
        <x:f>B7*$E$18/(1+$B$18)^$B$19/$B$20</x:f>
        <x:v>608.6457932164913</x:v>
      </x:c>
      <x:c r="D7" s="178" t="n">
        <x:f>B7*$E$19/(1+$B$18)^$B$19/$B$20</x:f>
        <x:v>730.3749518597896</x:v>
      </x:c>
      <x:c r="E7" s="178" t="n">
        <x:f>B7*$E$20/(1+$B$18)^$B$19/$B$20</x:f>
        <x:v>852.1041105030879</x:v>
      </x:c>
      <x:c r="F7" s="177" t="str">
        <x:v>2028E净利×PE，8%折现至2026年末，1.30138971亿股</x:v>
      </x:c>
      <x:c r="G7" s="184"/>
      <x:c r="H7" s="184"/>
      <x:c r="I7" s="184"/>
    </x:row>
    <x:row r="8">
      <x:c r="A8" s="184"/>
      <x:c r="B8" s="184"/>
      <x:c r="C8" s="184"/>
      <x:c r="D8" s="184"/>
      <x:c r="E8" s="184"/>
      <x:c r="F8" s="184"/>
      <x:c r="G8" s="184"/>
      <x:c r="H8" s="184"/>
      <x:c r="I8" s="184"/>
    </x:row>
    <x:row r="9">
      <x:c r="A9" s="176" t="str">
        <x:v>基准情形折现率敏感性</x:v>
      </x:c>
      <x:c r="B9" s="176" t="str">
        <x:v>25x</x:v>
      </x:c>
      <x:c r="C9" s="176" t="str">
        <x:v>30x</x:v>
      </x:c>
      <x:c r="D9" s="176" t="str">
        <x:v>35x</x:v>
      </x:c>
      <x:c r="E9" s="176" t="str">
        <x:v>每股价值口径</x:v>
      </x:c>
      <x:c r="F9" s="184"/>
      <x:c r="G9" s="184"/>
      <x:c r="H9" s="184"/>
      <x:c r="I9" s="184"/>
    </x:row>
    <x:row r="10">
      <x:c r="A10" s="224" t="n">
        <x:v>0.06</x:v>
      </x:c>
      <x:c r="B10" s="195" t="n">
        <x:f>'合并预测'!$D$30*$E$18/(1+$A10)^$B$19/$B$20</x:f>
        <x:v>530.6952118976351</x:v>
      </x:c>
      <x:c r="C10" s="195" t="n">
        <x:f>'合并预测'!$D$30*$E$19/(1+$A10)^$B$19/$B$20</x:f>
        <x:v>636.8342542771621</x:v>
      </x:c>
      <x:c r="D10" s="195" t="n">
        <x:f>'合并预测'!$D$30*$E$20/(1+$A10)^$B$19/$B$20</x:f>
        <x:v>742.9732966566892</x:v>
      </x:c>
      <x:c r="E10" s="177" t="str">
        <x:v>2028E基准合并归母净利×PE，折现至2026年末</x:v>
      </x:c>
      <x:c r="F10" s="184"/>
      <x:c r="G10" s="184"/>
      <x:c r="H10" s="184"/>
      <x:c r="I10" s="184"/>
    </x:row>
    <x:row r="11">
      <x:c r="A11" s="224" t="n">
        <x:v>0.08</x:v>
      </x:c>
      <x:c r="B11" s="195" t="n">
        <x:f>'合并预测'!$D$30*$E$18/(1+$A11)^$B$19/$B$20</x:f>
        <x:v>511.2218279219675</x:v>
      </x:c>
      <x:c r="C11" s="195" t="n">
        <x:f>'合并预测'!$D$30*$E$19/(1+$A11)^$B$19/$B$20</x:f>
        <x:v>613.466193506361</x:v>
      </x:c>
      <x:c r="D11" s="195" t="n">
        <x:f>'合并预测'!$D$30*$E$20/(1+$A11)^$B$19/$B$20</x:f>
        <x:v>715.7105590907544</x:v>
      </x:c>
      <x:c r="E11" s="177" t="str">
        <x:v>2028E基准合并归母净利×PE，折现至2026年末</x:v>
      </x:c>
      <x:c r="F11" s="184"/>
      <x:c r="G11" s="184"/>
      <x:c r="H11" s="184"/>
      <x:c r="I11" s="184"/>
    </x:row>
    <x:row r="12">
      <x:c r="A12" s="224" t="n">
        <x:v>0.1</x:v>
      </x:c>
      <x:c r="B12" s="195" t="n">
        <x:f>'合并预测'!$D$30*$E$18/(1+$A12)^$B$19/$B$20</x:f>
        <x:v>492.80094222163865</x:v>
      </x:c>
      <x:c r="C12" s="195" t="n">
        <x:f>'合并预测'!$D$30*$E$19/(1+$A12)^$B$19/$B$20</x:f>
        <x:v>591.3611306659665</x:v>
      </x:c>
      <x:c r="D12" s="195" t="n">
        <x:f>'合并预测'!$D$30*$E$20/(1+$A12)^$B$19/$B$20</x:f>
        <x:v>689.9213191102941</x:v>
      </x:c>
      <x:c r="E12" s="177" t="str">
        <x:v>2028E基准合并归母净利×PE，折现至2026年末</x:v>
      </x:c>
      <x:c r="F12" s="184"/>
      <x:c r="G12" s="184"/>
      <x:c r="H12" s="184"/>
      <x:c r="I12" s="184"/>
    </x:row>
    <x:row r="13">
      <x:c r="A13" s="184"/>
      <x:c r="B13" s="184"/>
      <x:c r="C13" s="184"/>
      <x:c r="D13" s="184"/>
      <x:c r="E13" s="184"/>
      <x:c r="F13" s="184"/>
      <x:c r="G13" s="184"/>
      <x:c r="H13" s="184"/>
      <x:c r="I13" s="184"/>
    </x:row>
    <x:row r="14" ht="36" customHeight="1">
      <x:c r="A14" s="229" t="str">
        <x:v>估值边界：三情形分别读取各自的合并归母净利；机会模型的理论产品净利不直接进入估值。</x:v>
      </x:c>
      <x:c r="B14" s="229"/>
      <x:c r="C14" s="229"/>
      <x:c r="D14" s="229"/>
      <x:c r="E14" s="229"/>
      <x:c r="F14" s="229"/>
      <x:c r="G14" s="229"/>
      <x:c r="H14" s="229"/>
      <x:c r="I14" s="184"/>
    </x:row>
    <x:row r="15">
      <x:c r="A15" s="184"/>
      <x:c r="B15" s="184"/>
      <x:c r="C15" s="184"/>
      <x:c r="D15" s="184"/>
      <x:c r="E15" s="184"/>
      <x:c r="F15" s="184"/>
      <x:c r="G15" s="184"/>
      <x:c r="H15" s="184"/>
      <x:c r="I15" s="184"/>
    </x:row>
    <x:row r="16">
      <x:c r="A16" s="184"/>
      <x:c r="B16" s="184"/>
      <x:c r="C16" s="184"/>
      <x:c r="D16" s="184"/>
      <x:c r="E16" s="184"/>
      <x:c r="F16" s="184"/>
      <x:c r="G16" s="184"/>
      <x:c r="H16" s="184"/>
      <x:c r="I16" s="184"/>
    </x:row>
    <x:row r="17">
      <x:c r="A17" s="176" t="str">
        <x:v>估值输入</x:v>
      </x:c>
      <x:c r="B17" s="176" t="str">
        <x:v>数值</x:v>
      </x:c>
      <x:c r="C17" s="184"/>
      <x:c r="D17" s="176" t="str">
        <x:v>PE情景</x:v>
      </x:c>
      <x:c r="E17" s="176" t="str">
        <x:v>倍数</x:v>
      </x:c>
      <x:c r="F17" s="184"/>
      <x:c r="G17" s="184"/>
      <x:c r="H17" s="184"/>
      <x:c r="I17" s="184"/>
    </x:row>
    <x:row r="18">
      <x:c r="A18" s="177" t="str">
        <x:v>年折现率</x:v>
      </x:c>
      <x:c r="B18" s="209" t="n">
        <x:v>0.08</x:v>
      </x:c>
      <x:c r="C18" s="184"/>
      <x:c r="D18" s="177" t="str">
        <x:v>低倍数</x:v>
      </x:c>
      <x:c r="E18" s="226" t="n">
        <x:v>25</x:v>
      </x:c>
      <x:c r="F18" s="184"/>
      <x:c r="G18" s="184"/>
      <x:c r="H18" s="184"/>
      <x:c r="I18" s="184"/>
    </x:row>
    <x:row r="19">
      <x:c r="A19" s="177" t="str">
        <x:v>折现年数</x:v>
      </x:c>
      <x:c r="B19" s="217" t="n">
        <x:v>2</x:v>
      </x:c>
      <x:c r="C19" s="184"/>
      <x:c r="D19" s="177" t="str">
        <x:v>中倍数</x:v>
      </x:c>
      <x:c r="E19" s="226" t="n">
        <x:v>30</x:v>
      </x:c>
      <x:c r="F19" s="184"/>
      <x:c r="G19" s="184"/>
      <x:c r="H19" s="184"/>
      <x:c r="I19" s="184"/>
    </x:row>
    <x:row r="20">
      <x:c r="A20" s="177" t="str">
        <x:v>当前股数（亿股）</x:v>
      </x:c>
      <x:c r="B20" s="227" t="n">
        <x:v>1.30138971</x:v>
      </x:c>
      <x:c r="C20" s="184"/>
      <x:c r="D20" s="177" t="str">
        <x:v>高倍数</x:v>
      </x:c>
      <x:c r="E20" s="226" t="n">
        <x:v>35</x:v>
      </x:c>
      <x:c r="F20" s="184"/>
      <x:c r="G20" s="184"/>
      <x:c r="H20" s="184"/>
      <x:c r="I20" s="184"/>
    </x:row>
    <x:row r="21">
      <x:c r="A21" s="177" t="str">
        <x:v>目标盈利年度（固定）</x:v>
      </x:c>
      <x:c r="B21" s="228" t="n">
        <x:v>2028</x:v>
      </x:c>
      <x:c r="C21" s="184"/>
      <x:c r="D21" s="184"/>
      <x:c r="E21" s="184"/>
      <x:c r="F21" s="184"/>
      <x:c r="G21" s="184"/>
      <x:c r="H21" s="184"/>
      <x:c r="I21" s="184"/>
    </x:row>
    <x:row r="22">
      <x:c r="A22" s="184"/>
      <x:c r="B22" s="184"/>
      <x:c r="C22" s="184"/>
      <x:c r="D22" s="184"/>
      <x:c r="E22" s="184"/>
      <x:c r="F22" s="184"/>
      <x:c r="G22" s="184"/>
      <x:c r="H22" s="184"/>
      <x:c r="I22" s="184"/>
    </x:row>
    <x:row r="23">
      <x:c r="A23" s="184"/>
      <x:c r="B23" s="184"/>
      <x:c r="C23" s="184"/>
      <x:c r="D23" s="184"/>
      <x:c r="E23" s="184"/>
      <x:c r="F23" s="184"/>
      <x:c r="G23" s="184"/>
      <x:c r="H23" s="184"/>
      <x:c r="I23" s="184"/>
    </x:row>
    <x:row r="24">
      <x:c r="A24" s="184"/>
      <x:c r="B24" s="184"/>
      <x:c r="C24" s="184"/>
      <x:c r="D24" s="184"/>
      <x:c r="E24" s="184"/>
      <x:c r="F24" s="184"/>
      <x:c r="G24" s="184"/>
      <x:c r="H24" s="184"/>
      <x:c r="I24" s="184"/>
    </x:row>
    <x:row r="25">
      <x:c r="A25" s="184"/>
      <x:c r="B25" s="184"/>
      <x:c r="C25" s="184"/>
      <x:c r="D25" s="184"/>
      <x:c r="E25" s="184"/>
      <x:c r="F25" s="184"/>
      <x:c r="G25" s="184"/>
      <x:c r="H25" s="184"/>
      <x:c r="I25" s="189" t="str">
        <x:v> </x:v>
      </x:c>
    </x:row>
  </x:sheetData>
  <x:mergeCells>
    <x:mergeCell ref="A1:H1"/>
    <x:mergeCell ref="A2:H2"/>
    <x:mergeCell ref="A14:H1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8" hidden="0" customWidth="1"/>
  </x:cols>
  <x:sheetData>
    <x:row r="1" ht="32" customHeight="1">
      <x:c r="A1" s="172" t="str">
        <x:v>模型校验</x:v>
      </x:c>
      <x:c r="B1" s="172"/>
      <x:c r="C1" s="172"/>
      <x:c r="D1" s="172"/>
      <x:c r="E1" s="172"/>
      <x:c r="F1" s="172"/>
      <x:c r="G1" s="172"/>
      <x:c r="H1" s="184"/>
    </x:row>
    <x:row r="2" ht="28" customHeight="1">
      <x:c r="A2" s="174" t="str">
        <x:v>上部为默认参数发布快照，下部为随输入变化的动态勾稽；容差1E-6。修改输入可偏离发布值，动态勾稽仍应PASS。</x:v>
      </x:c>
      <x:c r="B2" s="174"/>
      <x:c r="C2" s="174"/>
      <x:c r="D2" s="174"/>
      <x:c r="E2" s="174"/>
      <x:c r="F2" s="174"/>
      <x:c r="G2" s="174"/>
      <x:c r="H2" s="184"/>
    </x:row>
    <x:row r="3">
      <x:c r="A3" s="184"/>
      <x:c r="B3" s="184"/>
      <x:c r="C3" s="184"/>
      <x:c r="D3" s="184"/>
      <x:c r="E3" s="184"/>
      <x:c r="F3" s="184"/>
      <x:c r="G3" s="184"/>
      <x:c r="H3" s="184"/>
    </x:row>
    <x:row r="4">
      <x:c r="A4" s="176" t="str">
        <x:v>校验ID</x:v>
      </x:c>
      <x:c r="B4" s="176" t="str">
        <x:v>校验项</x:v>
      </x:c>
      <x:c r="C4" s="176" t="str">
        <x:v>实际值</x:v>
      </x:c>
      <x:c r="D4" s="176" t="str">
        <x:v>期望值</x:v>
      </x:c>
      <x:c r="E4" s="176" t="str">
        <x:v>差异</x:v>
      </x:c>
      <x:c r="F4" s="176" t="str">
        <x:v>状态</x:v>
      </x:c>
      <x:c r="G4" s="176" t="str">
        <x:v>说明</x:v>
      </x:c>
      <x:c r="H4" s="184"/>
    </x:row>
    <x:row r="5">
      <x:c r="A5" s="177" t="str">
        <x:v>CHK-BASE-REV-26</x:v>
      </x:c>
      <x:c r="B5" s="177" t="str">
        <x:v>基准理论预估收入2026</x:v>
      </x:c>
      <x:c r="C5" s="230" t="n">
        <x:f>'机会模型'!K12</x:f>
        <x:v>6.2586368000000006</x:v>
      </x:c>
      <x:c r="D5" s="230" t="n">
        <x:v>6.2586368</x:v>
      </x:c>
      <x:c r="E5" s="230" t="n">
        <x:f>C5-D5</x:f>
        <x:v>8.881784197001252e-16</x:v>
      </x:c>
      <x:c r="F5" s="177" t="str">
        <x:f>IF(ABS(E5)&lt;0.000001,"PASS","偏离发布值")</x:f>
        <x:v>PASS</x:v>
      </x:c>
      <x:c r="G5" s="177" t="str">
        <x:v>七条产品线需求×价格×份额</x:v>
      </x:c>
      <x:c r="H5" s="184"/>
    </x:row>
    <x:row r="6">
      <x:c r="A6" s="177" t="str">
        <x:v>CHK-BASE-REV-27</x:v>
      </x:c>
      <x:c r="B6" s="177" t="str">
        <x:v>基准理论预估收入2027</x:v>
      </x:c>
      <x:c r="C6" s="230" t="n">
        <x:f>'机会模型'!L12</x:f>
        <x:v>41.247688000000004</x:v>
      </x:c>
      <x:c r="D6" s="230" t="n">
        <x:v>41.247688</x:v>
      </x:c>
      <x:c r="E6" s="230" t="n">
        <x:f>C6-D6</x:f>
        <x:v>7.105427357601002e-15</x:v>
      </x:c>
      <x:c r="F6" s="177" t="str">
        <x:f>IF(ABS(E6)&lt;0.000001,"PASS","偏离发布值")</x:f>
        <x:v>PASS</x:v>
      </x:c>
      <x:c r="G6" s="177" t="str">
        <x:v>按各产品年度价格曲线</x:v>
      </x:c>
      <x:c r="H6" s="184"/>
    </x:row>
    <x:row r="7">
      <x:c r="A7" s="177" t="str">
        <x:v>CHK-BASE-REV-28</x:v>
      </x:c>
      <x:c r="B7" s="177" t="str">
        <x:v>基准理论预估收入2028</x:v>
      </x:c>
      <x:c r="C7" s="230" t="n">
        <x:f>'机会模型'!M12</x:f>
        <x:v>119.16886335999999</x:v>
      </x:c>
      <x:c r="D7" s="230" t="n">
        <x:v>119.16886336</x:v>
      </x:c>
      <x:c r="E7" s="230" t="n">
        <x:f>C7-D7</x:f>
        <x:v>-1.4210854715202004e-14</x:v>
      </x:c>
      <x:c r="F7" s="177" t="str">
        <x:f>IF(ABS(E7)&lt;0.000001,"PASS","偏离发布值")</x:f>
        <x:v>PASS</x:v>
      </x:c>
      <x:c r="G7" s="177" t="str">
        <x:v>按各产品年度价格曲线</x:v>
      </x:c>
      <x:c r="H7" s="184"/>
    </x:row>
    <x:row r="8">
      <x:c r="A8" s="177" t="str">
        <x:v>CHK-BASE-REV-29</x:v>
      </x:c>
      <x:c r="B8" s="177" t="str">
        <x:v>基准理论预估收入2029</x:v>
      </x:c>
      <x:c r="C8" s="230" t="n">
        <x:f>'机会模型'!N12</x:f>
        <x:v>214.0201181056</x:v>
      </x:c>
      <x:c r="D8" s="230" t="n">
        <x:v>214.0201181056</x:v>
      </x:c>
      <x:c r="E8" s="230" t="n">
        <x:f>C8-D8</x:f>
        <x:v>0</x:v>
      </x:c>
      <x:c r="F8" s="177" t="str">
        <x:f>IF(ABS(E8)&lt;0.000001,"PASS","偏离发布值")</x:f>
        <x:v>PASS</x:v>
      </x:c>
      <x:c r="G8" s="177" t="str">
        <x:v>OCS/CPO器件年降10%</x:v>
      </x:c>
      <x:c r="H8" s="184"/>
    </x:row>
    <x:row r="9">
      <x:c r="A9" s="177" t="str">
        <x:v>CHK-BASE-REV-30</x:v>
      </x:c>
      <x:c r="B9" s="177" t="str">
        <x:v>基准理论预估收入2030</x:v>
      </x:c>
      <x:c r="C9" s="230" t="n">
        <x:f>'机会模型'!O12</x:f>
        <x:v>301.63957849344</x:v>
      </x:c>
      <x:c r="D9" s="230" t="n">
        <x:v>301.63957849344</x:v>
      </x:c>
      <x:c r="E9" s="230" t="n">
        <x:f>C9-D9</x:f>
        <x:v>0</x:v>
      </x:c>
      <x:c r="F9" s="177" t="str">
        <x:f>IF(ABS(E9)&lt;0.000001,"PASS","偏离发布值")</x:f>
        <x:v>PASS</x:v>
      </x:c>
      <x:c r="G9" s="177" t="str">
        <x:v>OCS/CPO器件年降10%</x:v>
      </x:c>
      <x:c r="H9" s="184"/>
    </x:row>
    <x:row r="10">
      <x:c r="A10" s="177" t="str">
        <x:v>CHK-BASE-NP-26</x:v>
      </x:c>
      <x:c r="B10" s="177" t="str">
        <x:v>基准理论预估净利2026</x:v>
      </x:c>
      <x:c r="C10" s="230" t="n">
        <x:f>'机会模型'!K13</x:f>
        <x:v>2.0653501440000004</x:v>
      </x:c>
      <x:c r="D10" s="230" t="n">
        <x:v>2.065350144</x:v>
      </x:c>
      <x:c r="E10" s="230" t="n">
        <x:f>C10-D10</x:f>
        <x:v>4.440892098500626e-16</x:v>
      </x:c>
      <x:c r="F10" s="177" t="str">
        <x:f>IF(ABS(E10)&lt;0.000001,"PASS","偏离发布值")</x:f>
        <x:v>PASS</x:v>
      </x:c>
      <x:c r="G10" s="177" t="str">
        <x:v>产品层净利率33%</x:v>
      </x:c>
      <x:c r="H10" s="184"/>
    </x:row>
    <x:row r="11">
      <x:c r="A11" s="177" t="str">
        <x:v>CHK-BASE-NP-27</x:v>
      </x:c>
      <x:c r="B11" s="177" t="str">
        <x:v>基准理论预估净利2027</x:v>
      </x:c>
      <x:c r="C11" s="230" t="n">
        <x:f>'机会模型'!L13</x:f>
        <x:v>13.611737040000001</x:v>
      </x:c>
      <x:c r="D11" s="230" t="n">
        <x:v>13.61173704</x:v>
      </x:c>
      <x:c r="E11" s="230" t="n">
        <x:f>C11-D11</x:f>
        <x:v>1.7763568394002505e-15</x:v>
      </x:c>
      <x:c r="F11" s="177" t="str">
        <x:f>IF(ABS(E11)&lt;0.000001,"PASS","偏离发布值")</x:f>
        <x:v>PASS</x:v>
      </x:c>
      <x:c r="G11" s="177" t="str">
        <x:v>产品层净利率33%</x:v>
      </x:c>
      <x:c r="H11" s="184"/>
    </x:row>
    <x:row r="12">
      <x:c r="A12" s="177" t="str">
        <x:v>CHK-BASE-NP-28</x:v>
      </x:c>
      <x:c r="B12" s="177" t="str">
        <x:v>基准理论预估净利2028</x:v>
      </x:c>
      <x:c r="C12" s="230" t="n">
        <x:f>'机会模型'!M13</x:f>
        <x:v>39.3257249088</x:v>
      </x:c>
      <x:c r="D12" s="230" t="n">
        <x:v>39.3257249088</x:v>
      </x:c>
      <x:c r="E12" s="230" t="n">
        <x:f>C12-D12</x:f>
        <x:v>0</x:v>
      </x:c>
      <x:c r="F12" s="177" t="str">
        <x:f>IF(ABS(E12)&lt;0.000001,"PASS","偏离发布值")</x:f>
        <x:v>PASS</x:v>
      </x:c>
      <x:c r="G12" s="177" t="str">
        <x:v>产品层净利率33%</x:v>
      </x:c>
      <x:c r="H12" s="184"/>
    </x:row>
    <x:row r="13">
      <x:c r="A13" s="177" t="str">
        <x:v>CHK-OPT-REV-26</x:v>
      </x:c>
      <x:c r="B13" s="177" t="str">
        <x:v>乐观理论预估收入2026</x:v>
      </x:c>
      <x:c r="C13" s="230" t="n">
        <x:f>'机会模型'!Q12</x:f>
        <x:v>7.76242624</x:v>
      </x:c>
      <x:c r="D13" s="230" t="n">
        <x:v>7.76242624</x:v>
      </x:c>
      <x:c r="E13" s="230" t="n">
        <x:f>C13-D13</x:f>
        <x:v>0</x:v>
      </x:c>
      <x:c r="F13" s="177" t="str">
        <x:f>IF(ABS(E13)&lt;0.000001,"PASS","偏离发布值")</x:f>
        <x:v>PASS</x:v>
      </x:c>
      <x:c r="G13" s="177" t="str">
        <x:v>较高初始价值量与份额路径</x:v>
      </x:c>
      <x:c r="H13" s="184"/>
    </x:row>
    <x:row r="14">
      <x:c r="A14" s="177" t="str">
        <x:v>CHK-OPT-REV-27</x:v>
      </x:c>
      <x:c r="B14" s="177" t="str">
        <x:v>乐观理论预估收入2027</x:v>
      </x:c>
      <x:c r="C14" s="230" t="n">
        <x:f>'机会模型'!R12</x:f>
        <x:v>50.21304586666668</x:v>
      </x:c>
      <x:c r="D14" s="230" t="n">
        <x:v>50.21304586666667</x:v>
      </x:c>
      <x:c r="E14" s="230" t="n">
        <x:f>C14-D14</x:f>
        <x:v>1.4210854715202004e-14</x:v>
      </x:c>
      <x:c r="F14" s="177" t="str">
        <x:f>IF(ABS(E14)&lt;0.000001,"PASS","偏离发布值")</x:f>
        <x:v>PASS</x:v>
      </x:c>
      <x:c r="G14" s="177" t="str">
        <x:v>较高初始价值量与份额路径</x:v>
      </x:c>
      <x:c r="H14" s="184"/>
    </x:row>
    <x:row r="15">
      <x:c r="A15" s="177" t="str">
        <x:v>CHK-OPT-REV-28</x:v>
      </x:c>
      <x:c r="B15" s="177" t="str">
        <x:v>乐观理论预估收入2028</x:v>
      </x:c>
      <x:c r="C15" s="230" t="n">
        <x:f>'机会模型'!S12</x:f>
        <x:v>143.27160031360003</x:v>
      </x:c>
      <x:c r="D15" s="230" t="n">
        <x:v>143.2716003136</x:v>
      </x:c>
      <x:c r="E15" s="230" t="n">
        <x:f>C15-D15</x:f>
        <x:v>2.842170943040401e-14</x:v>
      </x:c>
      <x:c r="F15" s="177" t="str">
        <x:f>IF(ABS(E15)&lt;0.000001,"PASS","偏离发布值")</x:f>
        <x:v>PASS</x:v>
      </x:c>
      <x:c r="G15" s="177" t="str">
        <x:v>较高初始价值量与份额路径</x:v>
      </x:c>
      <x:c r="H15" s="184"/>
    </x:row>
    <x:row r="16">
      <x:c r="A16" s="177" t="str">
        <x:v>CHK-PLG-800-26</x:v>
      </x:c>
      <x:c r="B16" s="177" t="str">
        <x:v>800G透镜组件空间 2026</x:v>
      </x:c>
      <x:c r="C16" s="230" t="n">
        <x:f>'机会模型'!B17</x:f>
        <x:v>22.4</x:v>
      </x:c>
      <x:c r="D16" s="230" t="n">
        <x:v>22.4</x:v>
      </x:c>
      <x:c r="E16" s="230" t="n">
        <x:f>C16-D16</x:f>
        <x:v>0</x:v>
      </x:c>
      <x:c r="F16" s="177" t="str">
        <x:f>IF(ABS(E16)&lt;0.000001,"PASS","偏离发布值")</x:f>
        <x:v>PASS</x:v>
      </x:c>
      <x:c r="G16" s="177" t="str">
        <x:v>基准初始价值量</x:v>
      </x:c>
      <x:c r="H16" s="184"/>
    </x:row>
    <x:row r="17">
      <x:c r="A17" s="177" t="str">
        <x:v>CHK-PLG-16-28</x:v>
      </x:c>
      <x:c r="B17" s="177" t="str">
        <x:v>1.6T透镜组件空间 2028</x:v>
      </x:c>
      <x:c r="C17" s="230" t="n">
        <x:f>'机会模型'!D18</x:f>
        <x:v>47.628</x:v>
      </x:c>
      <x:c r="D17" s="230" t="n">
        <x:v>47.628</x:v>
      </x:c>
      <x:c r="E17" s="230" t="n">
        <x:f>C17-D17</x:f>
        <x:v>0</x:v>
      </x:c>
      <x:c r="F17" s="177" t="str">
        <x:f>IF(ABS(E17)&lt;0.000001,"PASS","偏离发布值")</x:f>
        <x:v>PASS</x:v>
      </x:c>
      <x:c r="G17" s="177" t="str">
        <x:v>年降10%后有效价值量</x:v>
      </x:c>
      <x:c r="H17" s="184"/>
    </x:row>
    <x:row r="18">
      <x:c r="A18" s="177" t="str">
        <x:v>CHK-OCS-TAM-28</x:v>
      </x:c>
      <x:c r="B18" s="177" t="str">
        <x:v>OCS阵列组件空间 2028</x:v>
      </x:c>
      <x:c r="C18" s="230" t="n">
        <x:f>'机会模型'!D19</x:f>
        <x:v>23.592959999999998</x:v>
      </x:c>
      <x:c r="D18" s="230" t="n">
        <x:v>23.592959999999998</x:v>
      </x:c>
      <x:c r="E18" s="230" t="n">
        <x:f>C18-D18</x:f>
        <x:v>0</x:v>
      </x:c>
      <x:c r="F18" s="177" t="str">
        <x:f>IF(ABS(E18)&lt;0.000001,"PASS","偏离发布值")</x:f>
        <x:v>PASS</x:v>
      </x:c>
      <x:c r="G18" s="177" t="str">
        <x:v>分规格计算量×价并加总；详见规格明细</x:v>
      </x:c>
      <x:c r="H18" s="184"/>
    </x:row>
    <x:row r="19">
      <x:c r="A19" s="177" t="str">
        <x:v>CHK-VG-TAM-28</x:v>
      </x:c>
      <x:c r="B19" s="177" t="str">
        <x:v>V型槽组件空间 2028</x:v>
      </x:c>
      <x:c r="C19" s="230" t="n">
        <x:f>'机会模型'!D20</x:f>
        <x:v>59.454259199999996</x:v>
      </x:c>
      <x:c r="D19" s="230" t="n">
        <x:v>59.454259199999996</x:v>
      </x:c>
      <x:c r="E19" s="230" t="n">
        <x:f>C19-D19</x:f>
        <x:v>0</x:v>
      </x:c>
      <x:c r="F19" s="177" t="str">
        <x:f>IF(ABS(E19)&lt;0.000001,"PASS","偏离发布值")</x:f>
        <x:v>PASS</x:v>
      </x:c>
      <x:c r="G19" s="177" t="str">
        <x:v>分规格计算量×价并加总；详见规格明细</x:v>
      </x:c>
      <x:c r="H19" s="184"/>
    </x:row>
    <x:row r="20">
      <x:c r="A20" s="177" t="str">
        <x:v>CHK-PRISM-TAM-28</x:v>
      </x:c>
      <x:c r="B20" s="177" t="str">
        <x:v>FAU棱镜组件空间 2028</x:v>
      </x:c>
      <x:c r="C20" s="230" t="n">
        <x:f>'机会模型'!D21</x:f>
        <x:v>84.93465599999999</x:v>
      </x:c>
      <x:c r="D20" s="230" t="n">
        <x:v>84.93465599999999</x:v>
      </x:c>
      <x:c r="E20" s="230" t="n">
        <x:f>C20-D20</x:f>
        <x:v>0</x:v>
      </x:c>
      <x:c r="F20" s="177" t="str">
        <x:f>IF(ABS(E20)&lt;0.000001,"PASS","偏离发布值")</x:f>
        <x:v>PASS</x:v>
      </x:c>
      <x:c r="G20" s="177" t="str">
        <x:v>分规格计算量×价并加总；详见规格明细</x:v>
      </x:c>
      <x:c r="H20" s="184"/>
    </x:row>
    <x:row r="21">
      <x:c r="A21" s="177" t="str">
        <x:v>CHK-ELS-TAM-28</x:v>
      </x:c>
      <x:c r="B21" s="177" t="str">
        <x:v>ELS透镜热沉组件空间 2028</x:v>
      </x:c>
      <x:c r="C21" s="230" t="n">
        <x:f>'机会模型'!D22</x:f>
        <x:v>32.44032</x:v>
      </x:c>
      <x:c r="D21" s="230" t="n">
        <x:v>32.44032</x:v>
      </x:c>
      <x:c r="E21" s="230" t="n">
        <x:f>C21-D21</x:f>
        <x:v>0</x:v>
      </x:c>
      <x:c r="F21" s="177" t="str">
        <x:f>IF(ABS(E21)&lt;0.000001,"PASS","偏离发布值")</x:f>
        <x:v>PASS</x:v>
      </x:c>
      <x:c r="G21" s="177" t="str">
        <x:v>分规格计算量×价并加总；详见规格明细</x:v>
      </x:c>
      <x:c r="H21" s="184"/>
    </x:row>
    <x:row r="22">
      <x:c r="A22" s="177" t="str">
        <x:v>CHK-EQUIP-TAM-28</x:v>
      </x:c>
      <x:c r="B22" s="177" t="str">
        <x:v>量测设备组件空间 2028</x:v>
      </x:c>
      <x:c r="C22" s="230" t="n">
        <x:f>'机会模型'!D23</x:f>
        <x:v>11.264</x:v>
      </x:c>
      <x:c r="D22" s="230" t="n">
        <x:v>11.264</x:v>
      </x:c>
      <x:c r="E22" s="230" t="n">
        <x:f>C22-D22</x:f>
        <x:v>0</x:v>
      </x:c>
      <x:c r="F22" s="177" t="str">
        <x:f>IF(ABS(E22)&lt;0.000001,"PASS","偏离发布值")</x:f>
        <x:v>PASS</x:v>
      </x:c>
      <x:c r="G22" s="177" t="str">
        <x:v>分规格计算量×价并加总；详见规格明细</x:v>
      </x:c>
      <x:c r="H22" s="184"/>
    </x:row>
    <x:row r="23">
      <x:c r="A23" s="177" t="str">
        <x:v>CHK-COMPONENT-SUM-28</x:v>
      </x:c>
      <x:c r="B23" s="177" t="str">
        <x:v>行业组件空间合计 2028</x:v>
      </x:c>
      <x:c r="C23" s="230" t="n">
        <x:f>'机会模型'!D24</x:f>
        <x:v>275.5141952</x:v>
      </x:c>
      <x:c r="D23" s="230" t="n">
        <x:v>275.5141952</x:v>
      </x:c>
      <x:c r="E23" s="230" t="n">
        <x:f>C23-D23</x:f>
        <x:v>0</x:v>
      </x:c>
      <x:c r="F23" s="177" t="str">
        <x:f>IF(ABS(E23)&lt;0.000001,"PASS","偏离发布值")</x:f>
        <x:v>PASS</x:v>
      </x:c>
      <x:c r="G23" s="177" t="str">
        <x:v>分规格计算量×价并加总；详见规格明细</x:v>
      </x:c>
      <x:c r="H23" s="184"/>
    </x:row>
    <x:row r="24">
      <x:c r="A24" s="177" t="str">
        <x:v>CHK-OCS-UNIT-26</x:v>
      </x:c>
      <x:c r="B24" s="177" t="str">
        <x:v>基准OCS单台产品价值2026</x:v>
      </x:c>
      <x:c r="C24" s="230" t="n">
        <x:f>'机会模型'!B29</x:f>
        <x:v>10240</x:v>
      </x:c>
      <x:c r="D24" s="230" t="n">
        <x:v>10240</x:v>
      </x:c>
      <x:c r="E24" s="230" t="n">
        <x:f>C24-D24</x:f>
        <x:v>0</x:v>
      </x:c>
      <x:c r="F24" s="177" t="str">
        <x:f>IF(ABS(E24)&lt;0.000001,"PASS","偏离发布值")</x:f>
        <x:v>PASS</x:v>
      </x:c>
      <x:c r="G24" s="177" t="str">
        <x:v>分规格计算量×价并加总；详见规格明细</x:v>
      </x:c>
      <x:c r="H24" s="184"/>
    </x:row>
    <x:row r="25">
      <x:c r="A25" s="177" t="str">
        <x:v>CHK-OCS-UNIT-27</x:v>
      </x:c>
      <x:c r="B25" s="177" t="str">
        <x:v>基准OCS单台产品价值2027</x:v>
      </x:c>
      <x:c r="C25" s="230" t="n">
        <x:f>'机会模型'!C29</x:f>
        <x:v>10649.6</x:v>
      </x:c>
      <x:c r="D25" s="230" t="n">
        <x:v>10649.6</x:v>
      </x:c>
      <x:c r="E25" s="230" t="n">
        <x:f>C25-D25</x:f>
        <x:v>0</x:v>
      </x:c>
      <x:c r="F25" s="177" t="str">
        <x:f>IF(ABS(E25)&lt;0.000001,"PASS","偏离发布值")</x:f>
        <x:v>PASS</x:v>
      </x:c>
      <x:c r="G25" s="177" t="str">
        <x:v>分规格计算量×价并加总；详见规格明细</x:v>
      </x:c>
      <x:c r="H25" s="184"/>
    </x:row>
    <x:row r="26">
      <x:c r="A26" s="177" t="str">
        <x:v>CHK-OCS-UNIT-28</x:v>
      </x:c>
      <x:c r="B26" s="177" t="str">
        <x:v>基准OCS单台产品价值2028</x:v>
      </x:c>
      <x:c r="C26" s="230" t="n">
        <x:f>'机会模型'!D29</x:f>
        <x:v>11796.48</x:v>
      </x:c>
      <x:c r="D26" s="230" t="n">
        <x:v>11796.48</x:v>
      </x:c>
      <x:c r="E26" s="230" t="n">
        <x:f>C26-D26</x:f>
        <x:v>0</x:v>
      </x:c>
      <x:c r="F26" s="177" t="str">
        <x:f>IF(ABS(E26)&lt;0.000001,"PASS","偏离发布值")</x:f>
        <x:v>PASS</x:v>
      </x:c>
      <x:c r="G26" s="177" t="str">
        <x:v>分规格计算量×价并加总；详见规格明细</x:v>
      </x:c>
      <x:c r="H26" s="184"/>
    </x:row>
    <x:row r="27">
      <x:c r="A27" s="177" t="str">
        <x:v>CHK-TREND-MODULE</x:v>
      </x:c>
      <x:c r="B27" s="177" t="str">
        <x:v>2030光模块需求</x:v>
      </x:c>
      <x:c r="C27" s="230" t="n">
        <x:f>'行业趋势'!I10</x:f>
        <x:v>267.22</x:v>
      </x:c>
      <x:c r="D27" s="230" t="n">
        <x:v>267.22</x:v>
      </x:c>
      <x:c r="E27" s="230" t="n">
        <x:f>C27-D27</x:f>
        <x:v>0</x:v>
      </x:c>
      <x:c r="F27" s="177" t="str">
        <x:f>IF(ABS(E27)&lt;0.000001,"PASS","偏离发布值")</x:f>
        <x:v>PASS</x:v>
      </x:c>
      <x:c r="G27" s="177" t="str">
        <x:v>百万只</x:v>
      </x:c>
      <x:c r="H27" s="184"/>
    </x:row>
    <x:row r="28">
      <x:c r="A28" s="177" t="str">
        <x:v>CHK-TREND-BW</x:v>
      </x:c>
      <x:c r="B28" s="177" t="str">
        <x:v>2030端口带宽</x:v>
      </x:c>
      <x:c r="C28" s="230" t="n">
        <x:f>'行业趋势'!K10</x:f>
        <x:v>555.9</x:v>
      </x:c>
      <x:c r="D28" s="230" t="n">
        <x:v>555.9</x:v>
      </x:c>
      <x:c r="E28" s="230" t="n">
        <x:f>C28-D28</x:f>
        <x:v>0</x:v>
      </x:c>
      <x:c r="F28" s="177" t="str">
        <x:f>IF(ABS(E28)&lt;0.000001,"PASS","偏离发布值")</x:f>
        <x:v>PASS</x:v>
      </x:c>
      <x:c r="G28" s="177" t="str">
        <x:v>Eb/s</x:v>
      </x:c>
      <x:c r="H28" s="184"/>
    </x:row>
    <x:row r="29">
      <x:c r="A29" s="177" t="str">
        <x:v>CHK-TREND-HS</x:v>
      </x:c>
      <x:c r="B29" s="177" t="str">
        <x:v>2030 1.6T+占比</x:v>
      </x:c>
      <x:c r="C29" s="230" t="n">
        <x:f>'行业趋势'!J10</x:f>
        <x:v>0.933</x:v>
      </x:c>
      <x:c r="D29" s="230" t="n">
        <x:v>0.933</x:v>
      </x:c>
      <x:c r="E29" s="230" t="n">
        <x:f>C29-D29</x:f>
        <x:v>0</x:v>
      </x:c>
      <x:c r="F29" s="177" t="str">
        <x:f>IF(ABS(E29)&lt;0.000001,"PASS","偏离发布值")</x:f>
        <x:v>PASS</x:v>
      </x:c>
      <x:c r="G29" s="177" t="str">
        <x:v>速率结构</x:v>
      </x:c>
      <x:c r="H29" s="184"/>
    </x:row>
    <x:row r="30">
      <x:c r="A30" s="177" t="str">
        <x:v>CHK-NORM-H1</x:v>
      </x:c>
      <x:c r="B30" s="177" t="str">
        <x:v>2026H1经营观察值</x:v>
      </x:c>
      <x:c r="C30" s="230" t="n">
        <x:f>'利润还原'!J8</x:f>
        <x:v>0.027116</x:v>
      </x:c>
      <x:c r="D30" s="230" t="n">
        <x:v>0.027116</x:v>
      </x:c>
      <x:c r="E30" s="230" t="n">
        <x:f>C30-D30</x:f>
        <x:v>0</x:v>
      </x:c>
      <x:c r="F30" s="177" t="str">
        <x:f>IF(ABS(E30)&lt;0.000001,"PASS","偏离发布值")</x:f>
        <x:v>PASS</x:v>
      </x:c>
      <x:c r="G30" s="177" t="str">
        <x:v>保留存货减值</x:v>
      </x:c>
      <x:c r="H30" s="184"/>
    </x:row>
    <x:row r="31">
      <x:c r="A31" s="177" t="str">
        <x:v>CHK-NORM-H1-FULL</x:v>
      </x:c>
      <x:c r="B31" s="177" t="str">
        <x:v>2026H1完全机械还原</x:v>
      </x:c>
      <x:c r="C31" s="230" t="n">
        <x:f>'利润还原'!K8</x:f>
        <x:v>0.380911</x:v>
      </x:c>
      <x:c r="D31" s="230" t="n">
        <x:v>0.380911</x:v>
      </x:c>
      <x:c r="E31" s="230" t="n">
        <x:f>C31-D31</x:f>
        <x:v>0</x:v>
      </x:c>
      <x:c r="F31" s="177" t="str">
        <x:f>IF(ABS(E31)&lt;0.000001,"PASS","偏离发布值")</x:f>
        <x:v>PASS</x:v>
      </x:c>
      <x:c r="G31" s="177" t="str">
        <x:v>观察值加回存货减值</x:v>
      </x:c>
      <x:c r="H31" s="184"/>
    </x:row>
    <x:row r="32">
      <x:c r="A32" s="177" t="str">
        <x:v>CHK-H1-BRIDGE</x:v>
      </x:c>
      <x:c r="B32" s="177" t="str">
        <x:v>2026H1同口径影响还原</x:v>
      </x:c>
      <x:c r="C32" s="230" t="n">
        <x:f>'利润还原'!B19</x:f>
        <x:v>0.199157</x:v>
      </x:c>
      <x:c r="D32" s="230" t="n">
        <x:v>0.199157</x:v>
      </x:c>
      <x:c r="E32" s="230" t="n">
        <x:f>C32-D32</x:f>
        <x:v>0</x:v>
      </x:c>
      <x:c r="F32" s="177" t="str">
        <x:f>IF(ABS(E32)&lt;0.000001,"PASS","偏离发布值")</x:f>
        <x:v>PASS</x:v>
      </x:c>
      <x:c r="G32" s="177" t="str">
        <x:v>同比增量桥</x:v>
      </x:c>
      <x:c r="H32" s="184"/>
    </x:row>
    <x:row r="33">
      <x:c r="A33" s="177" t="str">
        <x:v>CHK-H1-SEG</x:v>
      </x:c>
      <x:c r="B33" s="177" t="str">
        <x:v>H1主营分部合计</x:v>
      </x:c>
      <x:c r="C33" s="230" t="n">
        <x:f>'财务实际'!B18</x:f>
        <x:v>4.149411</x:v>
      </x:c>
      <x:c r="D33" s="230" t="n">
        <x:v>4.149411</x:v>
      </x:c>
      <x:c r="E33" s="230" t="n">
        <x:f>C33-D33</x:f>
        <x:v>0</x:v>
      </x:c>
      <x:c r="F33" s="177" t="str">
        <x:f>IF(ABS(E33)&lt;0.000001,"PASS","偏离发布值")</x:f>
        <x:v>PASS</x:v>
      </x:c>
      <x:c r="G33" s="177" t="str">
        <x:v>分应用加总</x:v>
      </x:c>
      <x:c r="H33" s="184"/>
    </x:row>
    <x:row r="34">
      <x:c r="A34" s="177" t="str">
        <x:v>R16-PRODUCT-GM-1-2023A</x:v>
      </x:c>
      <x:c r="B34" s="177" t="str">
        <x:v>半导体激光元器件和原材料2023A毛利率</x:v>
      </x:c>
      <x:c r="C34" s="230" t="n">
        <x:f>'财务实际'!D39</x:f>
        <x:v>0.4229029223839979</x:v>
      </x:c>
      <x:c r="D34" s="230" t="n">
        <x:v>0.42290292238399785</x:v>
      </x:c>
      <x:c r="E34" s="230" t="n">
        <x:f>C34-D34</x:f>
        <x:v>5.551115123125783e-17</x:v>
      </x:c>
      <x:c r="F34" s="177" t="str">
        <x:f>IF(ABS(E34)&lt;0.000001,"PASS","偏离发布值")</x:f>
        <x:v>PASS</x:v>
      </x:c>
      <x:c r="G34" s="177" t="str">
        <x:v>jg2023；收入与成本为财报原值换算</x:v>
      </x:c>
      <x:c r="H34" s="184"/>
    </x:row>
    <x:row r="35">
      <x:c r="A35" s="177" t="str">
        <x:v>R16-PRODUCT-GM-1-2024A</x:v>
      </x:c>
      <x:c r="B35" s="177" t="str">
        <x:v>半导体激光元器件和原材料2024A毛利率</x:v>
      </x:c>
      <x:c r="C35" s="230" t="n">
        <x:f>'财务实际'!G39</x:f>
        <x:v>0.4548226955054788</x:v>
      </x:c>
      <x:c r="D35" s="230" t="n">
        <x:v>0.45482269550547877</x:v>
      </x:c>
      <x:c r="E35" s="230" t="n">
        <x:f>C35-D35</x:f>
        <x:v>5.551115123125783e-17</x:v>
      </x:c>
      <x:c r="F35" s="177" t="str">
        <x:f>IF(ABS(E35)&lt;0.000001,"PASS","偏离发布值")</x:f>
        <x:v>PASS</x:v>
      </x:c>
      <x:c r="G35" s="177" t="str">
        <x:v>jg2024；收入与成本为财报原值换算</x:v>
      </x:c>
      <x:c r="H35" s="184"/>
    </x:row>
    <x:row r="36">
      <x:c r="A36" s="177" t="str">
        <x:v>R16-PRODUCT-GM-1-2025A</x:v>
      </x:c>
      <x:c r="B36" s="177" t="str">
        <x:v>半导体激光元器件和原材料2025A毛利率</x:v>
      </x:c>
      <x:c r="C36" s="230" t="n">
        <x:f>'财务实际'!J39</x:f>
        <x:v>0.27994848545666523</x:v>
      </x:c>
      <x:c r="D36" s="230" t="n">
        <x:v>0.27994848545666523</x:v>
      </x:c>
      <x:c r="E36" s="230" t="n">
        <x:f>C36-D36</x:f>
        <x:v>0</x:v>
      </x:c>
      <x:c r="F36" s="177" t="str">
        <x:f>IF(ABS(E36)&lt;0.000001,"PASS","偏离发布值")</x:f>
        <x:v>PASS</x:v>
      </x:c>
      <x:c r="G36" s="177" t="str">
        <x:v>jg2025；收入与成本为财报原值换算</x:v>
      </x:c>
      <x:c r="H36" s="184"/>
    </x:row>
    <x:row r="37">
      <x:c r="A37" s="177" t="str">
        <x:v>R16-PRODUCT-GM-2-2023A</x:v>
      </x:c>
      <x:c r="B37" s="177" t="str">
        <x:v>激光光学元器件2023A毛利率</x:v>
      </x:c>
      <x:c r="C37" s="230" t="n">
        <x:f>'财务实际'!D40</x:f>
        <x:v>0.5061865275933429</x:v>
      </x:c>
      <x:c r="D37" s="230" t="n">
        <x:v>0.506186527593343</x:v>
      </x:c>
      <x:c r="E37" s="230" t="n">
        <x:f>C37-D37</x:f>
        <x:v>-1.1102230246251565e-16</x:v>
      </x:c>
      <x:c r="F37" s="177" t="str">
        <x:f>IF(ABS(E37)&lt;0.000001,"PASS","偏离发布值")</x:f>
        <x:v>PASS</x:v>
      </x:c>
      <x:c r="G37" s="177" t="str">
        <x:v>jg2023；收入与成本为财报原值换算</x:v>
      </x:c>
      <x:c r="H37" s="184"/>
    </x:row>
    <x:row r="38">
      <x:c r="A38" s="177" t="str">
        <x:v>R16-PRODUCT-GM-2-2024A</x:v>
      </x:c>
      <x:c r="B38" s="177" t="str">
        <x:v>激光光学元器件2024A毛利率</x:v>
      </x:c>
      <x:c r="C38" s="230" t="n">
        <x:f>'财务实际'!G40</x:f>
        <x:v>0.3835084536100648</x:v>
      </x:c>
      <x:c r="D38" s="230" t="n">
        <x:v>0.38350845361006475</x:v>
      </x:c>
      <x:c r="E38" s="230" t="n">
        <x:f>C38-D38</x:f>
        <x:v>5.551115123125783e-17</x:v>
      </x:c>
      <x:c r="F38" s="177" t="str">
        <x:f>IF(ABS(E38)&lt;0.000001,"PASS","偏离发布值")</x:f>
        <x:v>PASS</x:v>
      </x:c>
      <x:c r="G38" s="177" t="str">
        <x:v>jg2024；收入与成本为财报原值换算</x:v>
      </x:c>
      <x:c r="H38" s="184"/>
    </x:row>
    <x:row r="39">
      <x:c r="A39" s="177" t="str">
        <x:v>R16-PRODUCT-GM-2-2025A</x:v>
      </x:c>
      <x:c r="B39" s="177" t="str">
        <x:v>激光光学元器件2025A毛利率</x:v>
      </x:c>
      <x:c r="C39" s="230" t="n">
        <x:f>'财务实际'!J40</x:f>
        <x:v>0.4273978805740721</x:v>
      </x:c>
      <x:c r="D39" s="230" t="n">
        <x:v>0.4273978805740721</x:v>
      </x:c>
      <x:c r="E39" s="230" t="n">
        <x:f>C39-D39</x:f>
        <x:v>0</x:v>
      </x:c>
      <x:c r="F39" s="177" t="str">
        <x:f>IF(ABS(E39)&lt;0.000001,"PASS","偏离发布值")</x:f>
        <x:v>PASS</x:v>
      </x:c>
      <x:c r="G39" s="177" t="str">
        <x:v>jg2025；收入与成本为财报原值换算</x:v>
      </x:c>
      <x:c r="H39" s="184"/>
    </x:row>
    <x:row r="40">
      <x:c r="A40" s="177" t="str">
        <x:v>R16-PRODUCT-GM-3-2023A</x:v>
      </x:c>
      <x:c r="B40" s="177" t="str">
        <x:v>汽车应用解决方案2023A毛利率</x:v>
      </x:c>
      <x:c r="C40" s="230" t="n">
        <x:f>'财务实际'!D41</x:f>
        <x:v>0.6525486485032654</x:v>
      </x:c>
      <x:c r="D40" s="230" t="n">
        <x:v>0.6525486485032654</x:v>
      </x:c>
      <x:c r="E40" s="230" t="n">
        <x:f>C40-D40</x:f>
        <x:v>0</x:v>
      </x:c>
      <x:c r="F40" s="177" t="str">
        <x:f>IF(ABS(E40)&lt;0.000001,"PASS","偏离发布值")</x:f>
        <x:v>PASS</x:v>
      </x:c>
      <x:c r="G40" s="177" t="str">
        <x:v>jg2023；收入与成本为财报原值换算</x:v>
      </x:c>
      <x:c r="H40" s="184"/>
    </x:row>
    <x:row r="41">
      <x:c r="A41" s="177" t="str">
        <x:v>R16-PRODUCT-GM-3-2024A</x:v>
      </x:c>
      <x:c r="B41" s="177" t="str">
        <x:v>汽车应用解决方案2024A毛利率</x:v>
      </x:c>
      <x:c r="C41" s="230" t="n">
        <x:f>'财务实际'!G41</x:f>
        <x:v>-0.21790480810697188</x:v>
      </x:c>
      <x:c r="D41" s="230" t="n">
        <x:v>-0.21790480810697185</x:v>
      </x:c>
      <x:c r="E41" s="230" t="n">
        <x:f>C41-D41</x:f>
        <x:v>-2.7755575615628914e-17</x:v>
      </x:c>
      <x:c r="F41" s="177" t="str">
        <x:f>IF(ABS(E41)&lt;0.000001,"PASS","偏离发布值")</x:f>
        <x:v>PASS</x:v>
      </x:c>
      <x:c r="G41" s="177" t="str">
        <x:v>jg2024；收入与成本为财报原值换算</x:v>
      </x:c>
      <x:c r="H41" s="184"/>
    </x:row>
    <x:row r="42">
      <x:c r="A42" s="177" t="str">
        <x:v>R16-PRODUCT-GM-3-2025A</x:v>
      </x:c>
      <x:c r="B42" s="177" t="str">
        <x:v>汽车应用解决方案2025A毛利率</x:v>
      </x:c>
      <x:c r="C42" s="230" t="n">
        <x:f>'财务实际'!J41</x:f>
        <x:v>0.3728613292426505</x:v>
      </x:c>
      <x:c r="D42" s="230" t="n">
        <x:v>0.3728613292426505</x:v>
      </x:c>
      <x:c r="E42" s="230" t="n">
        <x:f>C42-D42</x:f>
        <x:v>0</x:v>
      </x:c>
      <x:c r="F42" s="177" t="str">
        <x:f>IF(ABS(E42)&lt;0.000001,"PASS","偏离发布值")</x:f>
        <x:v>PASS</x:v>
      </x:c>
      <x:c r="G42" s="177" t="str">
        <x:v>jg2025；收入与成本为财报原值换算</x:v>
      </x:c>
      <x:c r="H42" s="184"/>
    </x:row>
    <x:row r="43">
      <x:c r="A43" s="177" t="str">
        <x:v>R16-PRODUCT-GM-4-2023A</x:v>
      </x:c>
      <x:c r="B43" s="177" t="str">
        <x:v>泛半导体制程解决方案2023A毛利率</x:v>
      </x:c>
      <x:c r="C43" s="230" t="n">
        <x:f>'财务实际'!D42</x:f>
        <x:v>0.4973067995910771</x:v>
      </x:c>
      <x:c r="D43" s="230" t="n">
        <x:v>0.49730679959107704</x:v>
      </x:c>
      <x:c r="E43" s="230" t="n">
        <x:f>C43-D43</x:f>
        <x:v>5.551115123125783e-17</x:v>
      </x:c>
      <x:c r="F43" s="177" t="str">
        <x:f>IF(ABS(E43)&lt;0.000001,"PASS","偏离发布值")</x:f>
        <x:v>PASS</x:v>
      </x:c>
      <x:c r="G43" s="177" t="str">
        <x:v>jg2023；收入与成本为财报原值换算</x:v>
      </x:c>
      <x:c r="H43" s="184"/>
    </x:row>
    <x:row r="44">
      <x:c r="A44" s="177" t="str">
        <x:v>R16-PRODUCT-GM-4-2024A</x:v>
      </x:c>
      <x:c r="B44" s="177" t="str">
        <x:v>泛半导体制程解决方案2024A毛利率</x:v>
      </x:c>
      <x:c r="C44" s="230" t="n">
        <x:f>'财务实际'!G42</x:f>
        <x:v>0.4100065090370519</x:v>
      </x:c>
      <x:c r="D44" s="230" t="n">
        <x:v>0.4100065090370519</x:v>
      </x:c>
      <x:c r="E44" s="230" t="n">
        <x:f>C44-D44</x:f>
        <x:v>0</x:v>
      </x:c>
      <x:c r="F44" s="177" t="str">
        <x:f>IF(ABS(E44)&lt;0.000001,"PASS","偏离发布值")</x:f>
        <x:v>PASS</x:v>
      </x:c>
      <x:c r="G44" s="177" t="str">
        <x:v>jg2024；收入与成本为财报原值换算</x:v>
      </x:c>
      <x:c r="H44" s="184"/>
    </x:row>
    <x:row r="45">
      <x:c r="A45" s="177" t="str">
        <x:v>R16-PRODUCT-GM-4-2025A</x:v>
      </x:c>
      <x:c r="B45" s="177" t="str">
        <x:v>泛半导体制程解决方案2025A毛利率</x:v>
      </x:c>
      <x:c r="C45" s="230" t="n">
        <x:f>'财务实际'!J42</x:f>
        <x:v>0.5430297727248126</x:v>
      </x:c>
      <x:c r="D45" s="230" t="n">
        <x:v>0.5430297727248126</x:v>
      </x:c>
      <x:c r="E45" s="230" t="n">
        <x:f>C45-D45</x:f>
        <x:v>0</x:v>
      </x:c>
      <x:c r="F45" s="177" t="str">
        <x:f>IF(ABS(E45)&lt;0.000001,"PASS","偏离发布值")</x:f>
        <x:v>PASS</x:v>
      </x:c>
      <x:c r="G45" s="177" t="str">
        <x:v>jg2025；收入与成本为财报原值换算</x:v>
      </x:c>
      <x:c r="H45" s="184"/>
    </x:row>
    <x:row r="46">
      <x:c r="A46" s="177" t="str">
        <x:v>R16-PRODUCT-GM-5-2023A</x:v>
      </x:c>
      <x:c r="B46" s="177" t="str">
        <x:v>医疗健康解决方案2023A毛利率</x:v>
      </x:c>
      <x:c r="C46" s="230" t="n">
        <x:f>'财务实际'!D43</x:f>
        <x:v>0.40672950769070326</x:v>
      </x:c>
      <x:c r="D46" s="230" t="n">
        <x:v>0.40672950769070326</x:v>
      </x:c>
      <x:c r="E46" s="230" t="n">
        <x:f>C46-D46</x:f>
        <x:v>0</x:v>
      </x:c>
      <x:c r="F46" s="177" t="str">
        <x:f>IF(ABS(E46)&lt;0.000001,"PASS","偏离发布值")</x:f>
        <x:v>PASS</x:v>
      </x:c>
      <x:c r="G46" s="177" t="str">
        <x:v>jg2023；收入与成本为财报原值换算</x:v>
      </x:c>
      <x:c r="H46" s="184"/>
    </x:row>
    <x:row r="47">
      <x:c r="A47" s="177" t="str">
        <x:v>R16-PRODUCT-GM-5-2024A</x:v>
      </x:c>
      <x:c r="B47" s="177" t="str">
        <x:v>医疗健康解决方案2024A毛利率</x:v>
      </x:c>
      <x:c r="C47" s="230" t="n">
        <x:f>'财务实际'!G43</x:f>
        <x:v>0.33222768106620915</x:v>
      </x:c>
      <x:c r="D47" s="230" t="n">
        <x:v>0.33222768106620915</x:v>
      </x:c>
      <x:c r="E47" s="230" t="n">
        <x:f>C47-D47</x:f>
        <x:v>0</x:v>
      </x:c>
      <x:c r="F47" s="177" t="str">
        <x:f>IF(ABS(E47)&lt;0.000001,"PASS","偏离发布值")</x:f>
        <x:v>PASS</x:v>
      </x:c>
      <x:c r="G47" s="177" t="str">
        <x:v>jg2024；收入与成本为财报原值换算</x:v>
      </x:c>
      <x:c r="H47" s="184"/>
    </x:row>
    <x:row r="48">
      <x:c r="A48" s="177" t="str">
        <x:v>R16-PRODUCT-GM-5-2025A</x:v>
      </x:c>
      <x:c r="B48" s="177" t="str">
        <x:v>医疗健康解决方案2025A毛利率</x:v>
      </x:c>
      <x:c r="C48" s="230" t="n">
        <x:f>'财务实际'!J43</x:f>
        <x:v>0.33762062465784387</x:v>
      </x:c>
      <x:c r="D48" s="230" t="n">
        <x:v>0.3376206246578438</x:v>
      </x:c>
      <x:c r="E48" s="230" t="n">
        <x:f>C48-D48</x:f>
        <x:v>5.551115123125783e-17</x:v>
      </x:c>
      <x:c r="F48" s="177" t="str">
        <x:f>IF(ABS(E48)&lt;0.000001,"PASS","偏离发布值")</x:f>
        <x:v>PASS</x:v>
      </x:c>
      <x:c r="G48" s="177" t="str">
        <x:v>jg2025；收入与成本为财报原值换算</x:v>
      </x:c>
      <x:c r="H48" s="184"/>
    </x:row>
    <x:row r="49">
      <x:c r="A49" s="177" t="str">
        <x:v>R16-PRODUCT-GM-6-2024A</x:v>
      </x:c>
      <x:c r="B49" s="177" t="str">
        <x:v>全球光子工艺和制造服务2024A毛利率</x:v>
      </x:c>
      <x:c r="C49" s="230" t="n">
        <x:f>'财务实际'!G44</x:f>
        <x:v>-1.288876536018379</x:v>
      </x:c>
      <x:c r="D49" s="230" t="n">
        <x:v>-1.288876536018379</x:v>
      </x:c>
      <x:c r="E49" s="230" t="n">
        <x:f>C49-D49</x:f>
        <x:v>0</x:v>
      </x:c>
      <x:c r="F49" s="177" t="str">
        <x:f>IF(ABS(E49)&lt;0.000001,"PASS","偏离发布值")</x:f>
        <x:v>PASS</x:v>
      </x:c>
      <x:c r="G49" s="177" t="str">
        <x:v>jg2024；收入与成本为财报原值换算</x:v>
      </x:c>
      <x:c r="H49" s="184"/>
    </x:row>
    <x:row r="50">
      <x:c r="A50" s="177" t="str">
        <x:v>R16-PRODUCT-GM-6-2025A</x:v>
      </x:c>
      <x:c r="B50" s="177" t="str">
        <x:v>全球光子工艺和制造服务2025A毛利率</x:v>
      </x:c>
      <x:c r="C50" s="230" t="n">
        <x:f>'财务实际'!J44</x:f>
        <x:v>-0.039792499646560106</x:v>
      </x:c>
      <x:c r="D50" s="230" t="n">
        <x:v>-0.03979249964656012</x:v>
      </x:c>
      <x:c r="E50" s="230" t="n">
        <x:f>C50-D50</x:f>
        <x:v>1.3877787807814457e-17</x:v>
      </x:c>
      <x:c r="F50" s="177" t="str">
        <x:f>IF(ABS(E50)&lt;0.000001,"PASS","偏离发布值")</x:f>
        <x:v>PASS</x:v>
      </x:c>
      <x:c r="G50" s="177" t="str">
        <x:v>jg2025；收入与成本为财报原值换算</x:v>
      </x:c>
      <x:c r="H50" s="184"/>
    </x:row>
    <x:row r="51">
      <x:c r="A51" s="177" t="str">
        <x:v>R16-PRODUCT-GM-H1-1</x:v>
      </x:c>
      <x:c r="B51" s="177" t="str">
        <x:v>激光光源与应用产品2026H1毛利率</x:v>
      </x:c>
      <x:c r="C51" s="230" t="n">
        <x:f>'财务实际'!D48</x:f>
        <x:v>0.3476442251315474</x:v>
      </x:c>
      <x:c r="D51" s="230" t="n">
        <x:v>0.3476442251315474</x:v>
      </x:c>
      <x:c r="E51" s="230" t="n">
        <x:f>C51-D51</x:f>
        <x:v>0</x:v>
      </x:c>
      <x:c r="F51" s="177" t="str">
        <x:f>IF(ABS(E51)&lt;0.000001,"PASS","偏离发布值")</x:f>
        <x:v>PASS</x:v>
      </x:c>
      <x:c r="G51" s="177" t="str">
        <x:v>jg2026h1；2026H1营业收入及成本分解</x:v>
      </x:c>
      <x:c r="H51" s="184"/>
    </x:row>
    <x:row r="52">
      <x:c r="A52" s="177" t="str">
        <x:v>R16-PRODUCT-GM-H1-2</x:v>
      </x:c>
      <x:c r="B52" s="177" t="str">
        <x:v>激光光学产品2026H1毛利率</x:v>
      </x:c>
      <x:c r="C52" s="230" t="n">
        <x:f>'财务实际'!D49</x:f>
        <x:v>0.5387956474904414</x:v>
      </x:c>
      <x:c r="D52" s="230" t="n">
        <x:v>0.5387956474904414</x:v>
      </x:c>
      <x:c r="E52" s="230" t="n">
        <x:f>C52-D52</x:f>
        <x:v>0</x:v>
      </x:c>
      <x:c r="F52" s="177" t="str">
        <x:f>IF(ABS(E52)&lt;0.000001,"PASS","偏离发布值")</x:f>
        <x:v>PASS</x:v>
      </x:c>
      <x:c r="G52" s="177" t="str">
        <x:v>jg2026h1；2026H1营业收入及成本分解</x:v>
      </x:c>
      <x:c r="H52" s="184"/>
    </x:row>
    <x:row r="53">
      <x:c r="A53" s="177" t="str">
        <x:v>R16-PRODUCT-GM-H1-3</x:v>
      </x:c>
      <x:c r="B53" s="177" t="str">
        <x:v>全球光子工艺和制造服务2026H1毛利率</x:v>
      </x:c>
      <x:c r="C53" s="230" t="n">
        <x:f>'财务实际'!D50</x:f>
        <x:v>0.08791448494886976</x:v>
      </x:c>
      <x:c r="D53" s="230" t="n">
        <x:v>0.08791448494886976</x:v>
      </x:c>
      <x:c r="E53" s="230" t="n">
        <x:f>C53-D53</x:f>
        <x:v>0</x:v>
      </x:c>
      <x:c r="F53" s="177" t="str">
        <x:f>IF(ABS(E53)&lt;0.000001,"PASS","偏离发布值")</x:f>
        <x:v>PASS</x:v>
      </x:c>
      <x:c r="G53" s="177" t="str">
        <x:v>jg2026h1；2026H1营业收入及成本分解</x:v>
      </x:c>
      <x:c r="H53" s="184"/>
    </x:row>
    <x:row r="54">
      <x:c r="A54" s="177" t="str">
        <x:v>R16-PRODUCT-GM-H1-4</x:v>
      </x:c>
      <x:c r="B54" s="177" t="str">
        <x:v>研发服务及加工服务2026H1毛利率</x:v>
      </x:c>
      <x:c r="C54" s="230" t="n">
        <x:f>'财务实际'!D51</x:f>
        <x:v>0.6945798628229722</x:v>
      </x:c>
      <x:c r="D54" s="230" t="n">
        <x:v>0.6945798628229722</x:v>
      </x:c>
      <x:c r="E54" s="230" t="n">
        <x:f>C54-D54</x:f>
        <x:v>0</x:v>
      </x:c>
      <x:c r="F54" s="177" t="str">
        <x:f>IF(ABS(E54)&lt;0.000001,"PASS","偏离发布值")</x:f>
        <x:v>PASS</x:v>
      </x:c>
      <x:c r="G54" s="177" t="str">
        <x:v>jg2026h1；2026H1营业收入及成本分解</x:v>
      </x:c>
      <x:c r="H54" s="184"/>
    </x:row>
    <x:row r="55">
      <x:c r="A55" s="177" t="str">
        <x:v>CHK-cautious-REV-2026</x:v>
      </x:c>
      <x:c r="B55" s="177" t="str">
        <x:v>审慎情形公司收入2026</x:v>
      </x:c>
      <x:c r="C55" s="230" t="n">
        <x:f>'合并预测'!B46</x:f>
        <x:v>10.26946336</x:v>
      </x:c>
      <x:c r="D55" s="230" t="n">
        <x:v>10.269463360000001</x:v>
      </x:c>
      <x:c r="E55" s="230" t="n">
        <x:f>C55-D55</x:f>
        <x:v>-1.7763568394002505e-15</x:v>
      </x:c>
      <x:c r="F55" s="177" t="str">
        <x:f>IF(ABS(E55)&lt;0.000001,"PASS","偏离发布值")</x:f>
        <x:v>PASS</x:v>
      </x:c>
      <x:c r="G55" s="177" t="str">
        <x:v>非光通信＋逐产品兑现收入</x:v>
      </x:c>
      <x:c r="H55" s="184"/>
    </x:row>
    <x:row r="56">
      <x:c r="A56" s="177" t="str">
        <x:v>CHK-cautious-NP-2026</x:v>
      </x:c>
      <x:c r="B56" s="177" t="str">
        <x:v>审慎情形归母净利2026</x:v>
      </x:c>
      <x:c r="C56" s="230" t="n">
        <x:f>'合并预测'!I46</x:f>
        <x:v>0.5720806697600007</x:v>
      </x:c>
      <x:c r="D56" s="230" t="n">
        <x:v>0.5720806697599995</x:v>
      </x:c>
      <x:c r="E56" s="230" t="n">
        <x:f>C56-D56</x:f>
        <x:v>1.2212453270876722e-15</x:v>
      </x:c>
      <x:c r="F56" s="177" t="str">
        <x:f>IF(ABS(E56)&lt;0.000001,"PASS","偏离发布值")</x:f>
        <x:v>PASS</x:v>
      </x:c>
      <x:c r="G56" s="177" t="str">
        <x:v>毛利扣除费用、减值与税项</x:v>
      </x:c>
      <x:c r="H56" s="184"/>
    </x:row>
    <x:row r="57">
      <x:c r="A57" s="177" t="str">
        <x:v>CHK-cautious-OPP-2026</x:v>
      </x:c>
      <x:c r="B57" s="177" t="str">
        <x:v>审慎情形理论收入2026</x:v>
      </x:c>
      <x:c r="C57" s="230" t="n">
        <x:f>'机会模型'!E12</x:f>
        <x:v>4.628985920000001</x:v>
      </x:c>
      <x:c r="D57" s="230" t="n">
        <x:v>4.628985920000001</x:v>
      </x:c>
      <x:c r="E57" s="230" t="n">
        <x:f>C57-D57</x:f>
        <x:v>0</x:v>
      </x:c>
      <x:c r="F57" s="177" t="str">
        <x:f>IF(ABS(E57)&lt;0.000001,"PASS","偏离发布值")</x:f>
        <x:v>PASS</x:v>
      </x:c>
      <x:c r="G57" s="177" t="str">
        <x:v>七条产品线需求×价格×份额</x:v>
      </x:c>
      <x:c r="H57" s="184"/>
    </x:row>
    <x:row r="58">
      <x:c r="A58" s="177" t="str">
        <x:v>CHK-cautious-HEAT-PRICE-2026</x:v>
      </x:c>
      <x:c r="B58" s="177" t="str">
        <x:v>审慎情形热沉单价2026</x:v>
      </x:c>
      <x:c r="C58" s="230" t="n">
        <x:f>'机会模型'!C80</x:f>
        <x:v>27.2</x:v>
      </x:c>
      <x:c r="D58" s="230" t="n">
        <x:v>27.2</x:v>
      </x:c>
      <x:c r="E58" s="230" t="n">
        <x:f>C58-D58</x:f>
        <x:v>0</x:v>
      </x:c>
      <x:c r="F58" s="177" t="str">
        <x:f>IF(ABS(E58)&lt;0.000001,"PASS","偏离发布值")</x:f>
        <x:v>PASS</x:v>
      </x:c>
      <x:c r="G58" s="177" t="str">
        <x:v>ELS透镜＋热沉合计价值的一半</x:v>
      </x:c>
      <x:c r="H58" s="184"/>
    </x:row>
    <x:row r="59">
      <x:c r="A59" s="177" t="str">
        <x:v>CHK-cautious-HEAT-TAM-2026</x:v>
      </x:c>
      <x:c r="B59" s="177" t="str">
        <x:v>审慎情形热沉空间2026</x:v>
      </x:c>
      <x:c r="C59" s="230" t="n">
        <x:f>'机会模型'!C81</x:f>
        <x:v>0.69632</x:v>
      </x:c>
      <x:c r="D59" s="230" t="n">
        <x:v>0.69632</x:v>
      </x:c>
      <x:c r="E59" s="230" t="n">
        <x:f>C59-D59</x:f>
        <x:v>0</x:v>
      </x:c>
      <x:c r="F59" s="177" t="str">
        <x:f>IF(ABS(E59)&lt;0.000001,"PASS","偏离发布值")</x:f>
        <x:v>PASS</x:v>
      </x:c>
      <x:c r="G59" s="177" t="str">
        <x:v>系统需求×128片×当年热沉单价</x:v>
      </x:c>
      <x:c r="H59" s="184"/>
    </x:row>
    <x:row r="60">
      <x:c r="A60" s="177" t="str">
        <x:v>CHK-cautious-HEAT-REV-2026</x:v>
      </x:c>
      <x:c r="B60" s="177" t="str">
        <x:v>审慎情形热沉理论收入2026</x:v>
      </x:c>
      <x:c r="C60" s="230" t="n">
        <x:f>'机会模型'!C83</x:f>
        <x:v>0.27417600000000003</x:v>
      </x:c>
      <x:c r="D60" s="230" t="n">
        <x:v>0.27417600000000003</x:v>
      </x:c>
      <x:c r="E60" s="230" t="n">
        <x:f>C60-D60</x:f>
        <x:v>0</x:v>
      </x:c>
      <x:c r="F60" s="177" t="str">
        <x:f>IF(ABS(E60)&lt;0.000001,"PASS","偏离发布值")</x:f>
        <x:v>PASS</x:v>
      </x:c>
      <x:c r="G60" s="177" t="str">
        <x:v>热沉组件空间×公司份额，未重复加总</x:v>
      </x:c>
      <x:c r="H60" s="184"/>
    </x:row>
    <x:row r="61">
      <x:c r="A61" s="177" t="str">
        <x:v>CHK-cautious-REV-2027</x:v>
      </x:c>
      <x:c r="B61" s="177" t="str">
        <x:v>审慎情形公司收入2027</x:v>
      </x:c>
      <x:c r="C61" s="230" t="n">
        <x:f>'合并预测'!C46</x:f>
        <x:v>32.48210954666667</x:v>
      </x:c>
      <x:c r="D61" s="230" t="n">
        <x:v>32.48210954666666</x:v>
      </x:c>
      <x:c r="E61" s="230" t="n">
        <x:f>C61-D61</x:f>
        <x:v>7.105427357601002e-15</x:v>
      </x:c>
      <x:c r="F61" s="177" t="str">
        <x:f>IF(ABS(E61)&lt;0.000001,"PASS","偏离发布值")</x:f>
        <x:v>PASS</x:v>
      </x:c>
      <x:c r="G61" s="177" t="str">
        <x:v>非光通信＋逐产品兑现收入</x:v>
      </x:c>
      <x:c r="H61" s="184"/>
    </x:row>
    <x:row r="62">
      <x:c r="A62" s="177" t="str">
        <x:v>CHK-cautious-NP-2027</x:v>
      </x:c>
      <x:c r="B62" s="177" t="str">
        <x:v>审慎情形归母净利2027</x:v>
      </x:c>
      <x:c r="C62" s="230" t="n">
        <x:f>'合并预测'!J46</x:f>
        <x:v>6.586511486040002</x:v>
      </x:c>
      <x:c r="D62" s="230" t="n">
        <x:v>6.586511486040003</x:v>
      </x:c>
      <x:c r="E62" s="230" t="n">
        <x:f>C62-D62</x:f>
        <x:v>-8.881784197001252e-16</x:v>
      </x:c>
      <x:c r="F62" s="177" t="str">
        <x:f>IF(ABS(E62)&lt;0.000001,"PASS","偏离发布值")</x:f>
        <x:v>PASS</x:v>
      </x:c>
      <x:c r="G62" s="177" t="str">
        <x:v>毛利扣除费用、减值与税项</x:v>
      </x:c>
      <x:c r="H62" s="184"/>
    </x:row>
    <x:row r="63">
      <x:c r="A63" s="177" t="str">
        <x:v>CHK-cautious-OPP-2027</x:v>
      </x:c>
      <x:c r="B63" s="177" t="str">
        <x:v>审慎情形理论收入2027</x:v>
      </x:c>
      <x:c r="C63" s="230" t="n">
        <x:f>'机会模型'!F12</x:f>
        <x:v>31.27924373333333</x:v>
      </x:c>
      <x:c r="D63" s="230" t="n">
        <x:v>31.27924373333333</x:v>
      </x:c>
      <x:c r="E63" s="230" t="n">
        <x:f>C63-D63</x:f>
        <x:v>0</x:v>
      </x:c>
      <x:c r="F63" s="177" t="str">
        <x:f>IF(ABS(E63)&lt;0.000001,"PASS","偏离发布值")</x:f>
        <x:v>PASS</x:v>
      </x:c>
      <x:c r="G63" s="177" t="str">
        <x:v>七条产品线需求×价格×份额</x:v>
      </x:c>
      <x:c r="H63" s="184"/>
    </x:row>
    <x:row r="64">
      <x:c r="A64" s="177" t="str">
        <x:v>CHK-cautious-HEAT-PRICE-2027</x:v>
      </x:c>
      <x:c r="B64" s="177" t="str">
        <x:v>审慎情形热沉单价2027</x:v>
      </x:c>
      <x:c r="C64" s="230" t="n">
        <x:f>'机会模型'!D80</x:f>
        <x:v>21.760000000000005</x:v>
      </x:c>
      <x:c r="D64" s="230" t="n">
        <x:v>21.76</x:v>
      </x:c>
      <x:c r="E64" s="230" t="n">
        <x:f>C64-D64</x:f>
        <x:v>3.552713678800501e-15</x:v>
      </x:c>
      <x:c r="F64" s="177" t="str">
        <x:f>IF(ABS(E64)&lt;0.000001,"PASS","偏离发布值")</x:f>
        <x:v>PASS</x:v>
      </x:c>
      <x:c r="G64" s="177" t="str">
        <x:v>ELS透镜＋热沉合计价值的一半</x:v>
      </x:c>
      <x:c r="H64" s="184"/>
    </x:row>
    <x:row r="65">
      <x:c r="A65" s="177" t="str">
        <x:v>CHK-cautious-HEAT-TAM-2027</x:v>
      </x:c>
      <x:c r="B65" s="177" t="str">
        <x:v>审慎情形热沉空间2027</x:v>
      </x:c>
      <x:c r="C65" s="230" t="n">
        <x:f>'机会模型'!D81</x:f>
        <x:v>5.570560000000001</x:v>
      </x:c>
      <x:c r="D65" s="230" t="n">
        <x:v>5.57056</x:v>
      </x:c>
      <x:c r="E65" s="230" t="n">
        <x:f>C65-D65</x:f>
        <x:v>8.881784197001252e-16</x:v>
      </x:c>
      <x:c r="F65" s="177" t="str">
        <x:f>IF(ABS(E65)&lt;0.000001,"PASS","偏离发布值")</x:f>
        <x:v>PASS</x:v>
      </x:c>
      <x:c r="G65" s="177" t="str">
        <x:v>系统需求×128片×当年热沉单价</x:v>
      </x:c>
      <x:c r="H65" s="184"/>
    </x:row>
    <x:row r="66">
      <x:c r="A66" s="177" t="str">
        <x:v>CHK-cautious-HEAT-REV-2027</x:v>
      </x:c>
      <x:c r="B66" s="177" t="str">
        <x:v>审慎情形热沉理论收入2027</x:v>
      </x:c>
      <x:c r="C66" s="230" t="n">
        <x:f>'机会模型'!D83</x:f>
        <x:v>2.2282240000000004</x:v>
      </x:c>
      <x:c r="D66" s="230" t="n">
        <x:v>2.228224</x:v>
      </x:c>
      <x:c r="E66" s="230" t="n">
        <x:f>C66-D66</x:f>
        <x:v>4.440892098500626e-16</x:v>
      </x:c>
      <x:c r="F66" s="177" t="str">
        <x:f>IF(ABS(E66)&lt;0.000001,"PASS","偏离发布值")</x:f>
        <x:v>PASS</x:v>
      </x:c>
      <x:c r="G66" s="177" t="str">
        <x:v>热沉组件空间×公司份额，未重复加总</x:v>
      </x:c>
      <x:c r="H66" s="184"/>
    </x:row>
    <x:row r="67">
      <x:c r="A67" s="177" t="str">
        <x:v>CHK-cautious-REV-2028</x:v>
      </x:c>
      <x:c r="B67" s="177" t="str">
        <x:v>审慎情形公司收入2028</x:v>
      </x:c>
      <x:c r="C67" s="230" t="n">
        <x:f>'合并预测'!D46</x:f>
        <x:v>83.75102152848001</x:v>
      </x:c>
      <x:c r="D67" s="230" t="n">
        <x:v>83.75102152848001</x:v>
      </x:c>
      <x:c r="E67" s="230" t="n">
        <x:f>C67-D67</x:f>
        <x:v>0</x:v>
      </x:c>
      <x:c r="F67" s="177" t="str">
        <x:f>IF(ABS(E67)&lt;0.000001,"PASS","偏离发布值")</x:f>
        <x:v>PASS</x:v>
      </x:c>
      <x:c r="G67" s="177" t="str">
        <x:v>非光通信＋逐产品兑现收入</x:v>
      </x:c>
      <x:c r="H67" s="184"/>
    </x:row>
    <x:row r="68">
      <x:c r="A68" s="177" t="str">
        <x:v>CHK-cautious-NP-2028</x:v>
      </x:c>
      <x:c r="B68" s="177" t="str">
        <x:v>审慎情形归母净利2028</x:v>
      </x:c>
      <x:c r="C68" s="230" t="n">
        <x:f>'合并预测'!K46</x:f>
        <x:v>23.704753896864485</x:v>
      </x:c>
      <x:c r="D68" s="230" t="n">
        <x:v>23.70475389686449</x:v>
      </x:c>
      <x:c r="E68" s="230" t="n">
        <x:f>C68-D68</x:f>
        <x:v>-3.552713678800501e-15</x:v>
      </x:c>
      <x:c r="F68" s="177" t="str">
        <x:f>IF(ABS(E68)&lt;0.000001,"PASS","偏离发布值")</x:f>
        <x:v>PASS</x:v>
      </x:c>
      <x:c r="G68" s="177" t="str">
        <x:v>毛利扣除费用、减值与税项</x:v>
      </x:c>
      <x:c r="H68" s="184"/>
    </x:row>
    <x:row r="69">
      <x:c r="A69" s="177" t="str">
        <x:v>CHK-cautious-OPP-2028</x:v>
      </x:c>
      <x:c r="B69" s="177" t="str">
        <x:v>审慎情形理论收入2028</x:v>
      </x:c>
      <x:c r="C69" s="230" t="n">
        <x:f>'机会模型'!G12</x:f>
        <x:v>89.2821387856</x:v>
      </x:c>
      <x:c r="D69" s="230" t="n">
        <x:v>89.2821387856</x:v>
      </x:c>
      <x:c r="E69" s="230" t="n">
        <x:f>C69-D69</x:f>
        <x:v>0</x:v>
      </x:c>
      <x:c r="F69" s="177" t="str">
        <x:f>IF(ABS(E69)&lt;0.000001,"PASS","偏离发布值")</x:f>
        <x:v>PASS</x:v>
      </x:c>
      <x:c r="G69" s="177" t="str">
        <x:v>七条产品线需求×价格×份额</x:v>
      </x:c>
      <x:c r="H69" s="184"/>
    </x:row>
    <x:row r="70">
      <x:c r="A70" s="177" t="str">
        <x:v>CHK-cautious-HEAT-PRICE-2028</x:v>
      </x:c>
      <x:c r="B70" s="177" t="str">
        <x:v>审慎情形热沉单价2028</x:v>
      </x:c>
      <x:c r="C70" s="230" t="n">
        <x:f>'机会模型'!E80</x:f>
        <x:v>21.5424</x:v>
      </x:c>
      <x:c r="D70" s="230" t="n">
        <x:v>21.5424</x:v>
      </x:c>
      <x:c r="E70" s="230" t="n">
        <x:f>C70-D70</x:f>
        <x:v>0</x:v>
      </x:c>
      <x:c r="F70" s="177" t="str">
        <x:f>IF(ABS(E70)&lt;0.000001,"PASS","偏离发布值")</x:f>
        <x:v>PASS</x:v>
      </x:c>
      <x:c r="G70" s="177" t="str">
        <x:v>ELS透镜＋热沉合计价值的一半</x:v>
      </x:c>
      <x:c r="H70" s="184"/>
    </x:row>
    <x:row r="71">
      <x:c r="A71" s="177" t="str">
        <x:v>CHK-cautious-HEAT-TAM-2028</x:v>
      </x:c>
      <x:c r="B71" s="177" t="str">
        <x:v>审慎情形热沉空间2028</x:v>
      </x:c>
      <x:c r="C71" s="230" t="n">
        <x:f>'机会模型'!E81</x:f>
        <x:v>13.787136</x:v>
      </x:c>
      <x:c r="D71" s="230" t="n">
        <x:v>13.787136</x:v>
      </x:c>
      <x:c r="E71" s="230" t="n">
        <x:f>C71-D71</x:f>
        <x:v>0</x:v>
      </x:c>
      <x:c r="F71" s="177" t="str">
        <x:f>IF(ABS(E71)&lt;0.000001,"PASS","偏离发布值")</x:f>
        <x:v>PASS</x:v>
      </x:c>
      <x:c r="G71" s="177" t="str">
        <x:v>系统需求×128片×当年热沉单价</x:v>
      </x:c>
      <x:c r="H71" s="184"/>
    </x:row>
    <x:row r="72">
      <x:c r="A72" s="177" t="str">
        <x:v>CHK-cautious-HEAT-REV-2028</x:v>
      </x:c>
      <x:c r="B72" s="177" t="str">
        <x:v>审慎情形热沉理论收入2028</x:v>
      </x:c>
      <x:c r="C72" s="230" t="n">
        <x:f>'机会模型'!E83</x:f>
        <x:v>5.344604159999999</x:v>
      </x:c>
      <x:c r="D72" s="230" t="n">
        <x:v>5.344604159999999</x:v>
      </x:c>
      <x:c r="E72" s="230" t="n">
        <x:f>C72-D72</x:f>
        <x:v>0</x:v>
      </x:c>
      <x:c r="F72" s="177" t="str">
        <x:f>IF(ABS(E72)&lt;0.000001,"PASS","偏离发布值")</x:f>
        <x:v>PASS</x:v>
      </x:c>
      <x:c r="G72" s="177" t="str">
        <x:v>热沉组件空间×公司份额，未重复加总</x:v>
      </x:c>
      <x:c r="H72" s="184"/>
    </x:row>
    <x:row r="73">
      <x:c r="A73" s="177" t="str">
        <x:v>CHK-cautious-REV-2029</x:v>
      </x:c>
      <x:c r="B73" s="177" t="str">
        <x:v>审慎情形公司收入2029</x:v>
      </x:c>
      <x:c r="C73" s="230" t="n">
        <x:f>'合并预测'!E46</x:f>
        <x:v>147.6797298988352</x:v>
      </x:c>
      <x:c r="D73" s="230" t="n">
        <x:v>147.6797298988352</x:v>
      </x:c>
      <x:c r="E73" s="230" t="n">
        <x:f>C73-D73</x:f>
        <x:v>0</x:v>
      </x:c>
      <x:c r="F73" s="177" t="str">
        <x:f>IF(ABS(E73)&lt;0.000001,"PASS","偏离发布值")</x:f>
        <x:v>PASS</x:v>
      </x:c>
      <x:c r="G73" s="177" t="str">
        <x:v>非光通信＋逐产品兑现收入</x:v>
      </x:c>
      <x:c r="H73" s="184"/>
    </x:row>
    <x:row r="74">
      <x:c r="A74" s="177" t="str">
        <x:v>CHK-cautious-NP-2029</x:v>
      </x:c>
      <x:c r="B74" s="177" t="str">
        <x:v>审慎情形归母净利2029</x:v>
      </x:c>
      <x:c r="C74" s="230" t="n">
        <x:f>'合并预测'!L46</x:f>
        <x:v>44.6751595473397</x:v>
      </x:c>
      <x:c r="D74" s="230" t="n">
        <x:v>44.6751595473397</x:v>
      </x:c>
      <x:c r="E74" s="230" t="n">
        <x:f>C74-D74</x:f>
        <x:v>0</x:v>
      </x:c>
      <x:c r="F74" s="177" t="str">
        <x:f>IF(ABS(E74)&lt;0.000001,"PASS","偏离发布值")</x:f>
        <x:v>PASS</x:v>
      </x:c>
      <x:c r="G74" s="177" t="str">
        <x:v>毛利扣除费用、减值与税项</x:v>
      </x:c>
      <x:c r="H74" s="184"/>
    </x:row>
    <x:row r="75">
      <x:c r="A75" s="177" t="str">
        <x:v>CHK-cautious-OPP-2029</x:v>
      </x:c>
      <x:c r="B75" s="177" t="str">
        <x:v>审慎情形理论收入2029</x:v>
      </x:c>
      <x:c r="C75" s="230" t="n">
        <x:f>'机会模型'!H12</x:f>
        <x:v>167.297791748544</x:v>
      </x:c>
      <x:c r="D75" s="230" t="n">
        <x:v>167.297791748544</x:v>
      </x:c>
      <x:c r="E75" s="230" t="n">
        <x:f>C75-D75</x:f>
        <x:v>0</x:v>
      </x:c>
      <x:c r="F75" s="177" t="str">
        <x:f>IF(ABS(E75)&lt;0.000001,"PASS","偏离发布值")</x:f>
        <x:v>PASS</x:v>
      </x:c>
      <x:c r="G75" s="177" t="str">
        <x:v>七条产品线需求×价格×份额</x:v>
      </x:c>
      <x:c r="H75" s="184"/>
    </x:row>
    <x:row r="76">
      <x:c r="A76" s="177" t="str">
        <x:v>CHK-cautious-HEAT-PRICE-2029</x:v>
      </x:c>
      <x:c r="B76" s="177" t="str">
        <x:v>审慎情形热沉单价2029</x:v>
      </x:c>
      <x:c r="C76" s="230" t="n">
        <x:f>'机会模型'!F80</x:f>
        <x:v>20.48976</x:v>
      </x:c>
      <x:c r="D76" s="230" t="n">
        <x:v>20.489759999999997</x:v>
      </x:c>
      <x:c r="E76" s="230" t="n">
        <x:f>C76-D76</x:f>
        <x:v>3.552713678800501e-15</x:v>
      </x:c>
      <x:c r="F76" s="177" t="str">
        <x:f>IF(ABS(E76)&lt;0.000001,"PASS","偏离发布值")</x:f>
        <x:v>PASS</x:v>
      </x:c>
      <x:c r="G76" s="177" t="str">
        <x:v>ELS透镜＋热沉合计价值的一半</x:v>
      </x:c>
      <x:c r="H76" s="184"/>
    </x:row>
    <x:row r="77">
      <x:c r="A77" s="177" t="str">
        <x:v>CHK-cautious-HEAT-TAM-2029</x:v>
      </x:c>
      <x:c r="B77" s="177" t="str">
        <x:v>审慎情形热沉空间2029</x:v>
      </x:c>
      <x:c r="C77" s="230" t="n">
        <x:f>'机会模型'!F81</x:f>
        <x:v>22.29285888</x:v>
      </x:c>
      <x:c r="D77" s="230" t="n">
        <x:v>22.292858879999997</x:v>
      </x:c>
      <x:c r="E77" s="230" t="n">
        <x:f>C77-D77</x:f>
        <x:v>3.552713678800501e-15</x:v>
      </x:c>
      <x:c r="F77" s="177" t="str">
        <x:f>IF(ABS(E77)&lt;0.000001,"PASS","偏离发布值")</x:f>
        <x:v>PASS</x:v>
      </x:c>
      <x:c r="G77" s="177" t="str">
        <x:v>系统需求×128片×当年热沉单价</x:v>
      </x:c>
      <x:c r="H77" s="184"/>
    </x:row>
    <x:row r="78">
      <x:c r="A78" s="177" t="str">
        <x:v>CHK-cautious-HEAT-REV-2029</x:v>
      </x:c>
      <x:c r="B78" s="177" t="str">
        <x:v>审慎情形热沉理论收入2029</x:v>
      </x:c>
      <x:c r="C78" s="230" t="n">
        <x:f>'机会模型'!F83</x:f>
        <x:v>9.060968448</x:v>
      </x:c>
      <x:c r="D78" s="230" t="n">
        <x:v>9.060968447999999</x:v>
      </x:c>
      <x:c r="E78" s="230" t="n">
        <x:f>C78-D78</x:f>
        <x:v>1.7763568394002505e-15</x:v>
      </x:c>
      <x:c r="F78" s="177" t="str">
        <x:f>IF(ABS(E78)&lt;0.000001,"PASS","偏离发布值")</x:f>
        <x:v>PASS</x:v>
      </x:c>
      <x:c r="G78" s="177" t="str">
        <x:v>热沉组件空间×公司份额，未重复加总</x:v>
      </x:c>
      <x:c r="H78" s="184"/>
    </x:row>
    <x:row r="79">
      <x:c r="A79" s="177" t="str">
        <x:v>CHK-cautious-REV-2030</x:v>
      </x:c>
      <x:c r="B79" s="177" t="str">
        <x:v>审慎情形公司收入2030</x:v>
      </x:c>
      <x:c r="C79" s="230" t="n">
        <x:f>'合并预测'!F46</x:f>
        <x:v>204.10537754951815</x:v>
      </x:c>
      <x:c r="D79" s="230" t="n">
        <x:v>204.10537754951815</x:v>
      </x:c>
      <x:c r="E79" s="230" t="n">
        <x:f>C79-D79</x:f>
        <x:v>0</x:v>
      </x:c>
      <x:c r="F79" s="177" t="str">
        <x:f>IF(ABS(E79)&lt;0.000001,"PASS","偏离发布值")</x:f>
        <x:v>PASS</x:v>
      </x:c>
      <x:c r="G79" s="177" t="str">
        <x:v>非光通信＋逐产品兑现收入</x:v>
      </x:c>
      <x:c r="H79" s="184"/>
    </x:row>
    <x:row r="80">
      <x:c r="A80" s="177" t="str">
        <x:v>CHK-cautious-NP-2030</x:v>
      </x:c>
      <x:c r="B80" s="177" t="str">
        <x:v>审慎情形归母净利2030</x:v>
      </x:c>
      <x:c r="C80" s="230" t="n">
        <x:f>'合并预测'!M46</x:f>
        <x:v>64.76185461083108</x:v>
      </x:c>
      <x:c r="D80" s="230" t="n">
        <x:v>64.76185461083108</x:v>
      </x:c>
      <x:c r="E80" s="230" t="n">
        <x:f>C80-D80</x:f>
        <x:v>0</x:v>
      </x:c>
      <x:c r="F80" s="177" t="str">
        <x:f>IF(ABS(E80)&lt;0.000001,"PASS","偏离发布值")</x:f>
        <x:v>PASS</x:v>
      </x:c>
      <x:c r="G80" s="177" t="str">
        <x:v>毛利扣除费用、减值与税项</x:v>
      </x:c>
      <x:c r="H80" s="184"/>
    </x:row>
    <x:row r="81">
      <x:c r="A81" s="177" t="str">
        <x:v>CHK-cautious-OPP-2030</x:v>
      </x:c>
      <x:c r="B81" s="177" t="str">
        <x:v>审慎情形理论收入2030</x:v>
      </x:c>
      <x:c r="C81" s="230" t="n">
        <x:f>'机会模型'!I12</x:f>
        <x:v>236.30906327189766</x:v>
      </x:c>
      <x:c r="D81" s="230" t="n">
        <x:v>236.30906327189766</x:v>
      </x:c>
      <x:c r="E81" s="230" t="n">
        <x:f>C81-D81</x:f>
        <x:v>0</x:v>
      </x:c>
      <x:c r="F81" s="177" t="str">
        <x:f>IF(ABS(E81)&lt;0.000001,"PASS","偏离发布值")</x:f>
        <x:v>PASS</x:v>
      </x:c>
      <x:c r="G81" s="177" t="str">
        <x:v>七条产品线需求×价格×份额</x:v>
      </x:c>
      <x:c r="H81" s="184"/>
    </x:row>
    <x:row r="82">
      <x:c r="A82" s="177" t="str">
        <x:v>CHK-cautious-HEAT-PRICE-2030</x:v>
      </x:c>
      <x:c r="B82" s="177" t="str">
        <x:v>审慎情形热沉单价2030</x:v>
      </x:c>
      <x:c r="C82" s="230" t="n">
        <x:f>'机会模型'!G80</x:f>
        <x:v>19.035648000000002</x:v>
      </x:c>
      <x:c r="D82" s="230" t="n">
        <x:v>19.035648000000002</x:v>
      </x:c>
      <x:c r="E82" s="230" t="n">
        <x:f>C82-D82</x:f>
        <x:v>0</x:v>
      </x:c>
      <x:c r="F82" s="177" t="str">
        <x:f>IF(ABS(E82)&lt;0.000001,"PASS","偏离发布值")</x:f>
        <x:v>PASS</x:v>
      </x:c>
      <x:c r="G82" s="177" t="str">
        <x:v>ELS透镜＋热沉合计价值的一半</x:v>
      </x:c>
      <x:c r="H82" s="184"/>
    </x:row>
    <x:row r="83">
      <x:c r="A83" s="177" t="str">
        <x:v>CHK-cautious-HEAT-TAM-2030</x:v>
      </x:c>
      <x:c r="B83" s="177" t="str">
        <x:v>审慎情形热沉空间2030</x:v>
      </x:c>
      <x:c r="C83" s="230" t="n">
        <x:f>'机会模型'!G81</x:f>
        <x:v>29.238755328</x:v>
      </x:c>
      <x:c r="D83" s="230" t="n">
        <x:v>29.238755328</x:v>
      </x:c>
      <x:c r="E83" s="230" t="n">
        <x:f>C83-D83</x:f>
        <x:v>0</x:v>
      </x:c>
      <x:c r="F83" s="177" t="str">
        <x:f>IF(ABS(E83)&lt;0.000001,"PASS","偏离发布值")</x:f>
        <x:v>PASS</x:v>
      </x:c>
      <x:c r="G83" s="177" t="str">
        <x:v>系统需求×128片×当年热沉单价</x:v>
      </x:c>
      <x:c r="H83" s="184"/>
    </x:row>
    <x:row r="84">
      <x:c r="A84" s="177" t="str">
        <x:v>CHK-cautious-HEAT-REV-2030</x:v>
      </x:c>
      <x:c r="B84" s="177" t="str">
        <x:v>审慎情形热沉理论收入2030</x:v>
      </x:c>
      <x:c r="C84" s="230" t="n">
        <x:f>'机会模型'!G83</x:f>
        <x:v>11.62240524288</x:v>
      </x:c>
      <x:c r="D84" s="230" t="n">
        <x:v>11.62240524288</x:v>
      </x:c>
      <x:c r="E84" s="230" t="n">
        <x:f>C84-D84</x:f>
        <x:v>0</x:v>
      </x:c>
      <x:c r="F84" s="177" t="str">
        <x:f>IF(ABS(E84)&lt;0.000001,"PASS","偏离发布值")</x:f>
        <x:v>PASS</x:v>
      </x:c>
      <x:c r="G84" s="177" t="str">
        <x:v>热沉组件空间×公司份额，未重复加总</x:v>
      </x:c>
      <x:c r="H84" s="184"/>
    </x:row>
    <x:row r="85">
      <x:c r="A85" s="177" t="str">
        <x:v>CHK-cautious-REALIZATION</x:v>
      </x:c>
      <x:c r="B85" s="177" t="str">
        <x:v>审慎情形兑现率下限</x:v>
      </x:c>
      <x:c r="C85" s="230" t="n">
        <x:f>MIN('机会输入'!C43:G49)</x:f>
        <x:v>0</x:v>
      </x:c>
      <x:c r="D85" s="230" t="n">
        <x:v>0</x:v>
      </x:c>
      <x:c r="E85" s="230" t="n">
        <x:f>C85-D85</x:f>
        <x:v>0</x:v>
      </x:c>
      <x:c r="F85" s="177" t="str">
        <x:f>IF(ABS(E85)&lt;0.000001,"PASS","偏离发布值")</x:f>
        <x:v>PASS</x:v>
      </x:c>
      <x:c r="G85" s="177" t="str">
        <x:v>按产品交付阶段设定；设备2026年为0</x:v>
      </x:c>
      <x:c r="H85" s="184"/>
    </x:row>
    <x:row r="86">
      <x:c r="A86" s="177" t="str">
        <x:v>CHK-cautious-VALUE-25</x:v>
      </x:c>
      <x:c r="B86" s="177" t="str">
        <x:v>审慎情形25x每股价值</x:v>
      </x:c>
      <x:c r="C86" s="230" t="n">
        <x:f>'估值模型'!C5</x:f>
        <x:v>390.4096825362538</x:v>
      </x:c>
      <x:c r="D86" s="230" t="n">
        <x:v>390.40968253625385</x:v>
      </x:c>
      <x:c r="E86" s="230" t="n">
        <x:f>C86-D86</x:f>
        <x:v>-5.684341886080802e-14</x:v>
      </x:c>
      <x:c r="F86" s="177" t="str">
        <x:f>IF(ABS(E86)&lt;0.000001,"PASS","偏离发布值")</x:f>
        <x:v>PASS</x:v>
      </x:c>
      <x:c r="G86" s="177" t="str">
        <x:v>2028归母净利×PE，经8%折现</x:v>
      </x:c>
      <x:c r="H86" s="184"/>
    </x:row>
    <x:row r="87">
      <x:c r="A87" s="177" t="str">
        <x:v>CHK-cautious-VALUE-30</x:v>
      </x:c>
      <x:c r="B87" s="177" t="str">
        <x:v>审慎情形30x每股价值</x:v>
      </x:c>
      <x:c r="C87" s="230" t="n">
        <x:f>'估值模型'!D5</x:f>
        <x:v>468.49161904350456</x:v>
      </x:c>
      <x:c r="D87" s="230" t="n">
        <x:v>468.49161904350467</x:v>
      </x:c>
      <x:c r="E87" s="230" t="n">
        <x:f>C87-D87</x:f>
        <x:v>-1.1368683772161603e-13</x:v>
      </x:c>
      <x:c r="F87" s="177" t="str">
        <x:f>IF(ABS(E87)&lt;0.000001,"PASS","偏离发布值")</x:f>
        <x:v>PASS</x:v>
      </x:c>
      <x:c r="G87" s="177" t="str">
        <x:v>2028归母净利×PE，经8%折现</x:v>
      </x:c>
      <x:c r="H87" s="184"/>
    </x:row>
    <x:row r="88">
      <x:c r="A88" s="177" t="str">
        <x:v>CHK-cautious-VALUE-35</x:v>
      </x:c>
      <x:c r="B88" s="177" t="str">
        <x:v>审慎情形35x每股价值</x:v>
      </x:c>
      <x:c r="C88" s="230" t="n">
        <x:f>'估值模型'!E5</x:f>
        <x:v>546.5735555507553</x:v>
      </x:c>
      <x:c r="D88" s="230" t="n">
        <x:v>546.5735555507554</x:v>
      </x:c>
      <x:c r="E88" s="230" t="n">
        <x:f>C88-D88</x:f>
        <x:v>-1.1368683772161603e-13</x:v>
      </x:c>
      <x:c r="F88" s="177" t="str">
        <x:f>IF(ABS(E88)&lt;0.000001,"PASS","偏离发布值")</x:f>
        <x:v>PASS</x:v>
      </x:c>
      <x:c r="G88" s="177" t="str">
        <x:v>2028归母净利×PE，经8%折现</x:v>
      </x:c>
      <x:c r="H88" s="184"/>
    </x:row>
    <x:row r="89">
      <x:c r="A89" s="177" t="str">
        <x:v>CHK-base-REV-2026</x:v>
      </x:c>
      <x:c r="B89" s="177" t="str">
        <x:v>基准情形公司收入2026</x:v>
      </x:c>
      <x:c r="C89" s="230" t="n">
        <x:f>'合并预测'!B47</x:f>
        <x:v>11.3114144</x:v>
      </x:c>
      <x:c r="D89" s="230" t="n">
        <x:v>11.3114144</x:v>
      </x:c>
      <x:c r="E89" s="230" t="n">
        <x:f>C89-D89</x:f>
        <x:v>0</x:v>
      </x:c>
      <x:c r="F89" s="177" t="str">
        <x:f>IF(ABS(E89)&lt;0.000001,"PASS","偏离发布值")</x:f>
        <x:v>PASS</x:v>
      </x:c>
      <x:c r="G89" s="177" t="str">
        <x:v>非光通信＋逐产品兑现收入</x:v>
      </x:c>
      <x:c r="H89" s="184"/>
    </x:row>
    <x:row r="90">
      <x:c r="A90" s="177" t="str">
        <x:v>CHK-base-NP-2026</x:v>
      </x:c>
      <x:c r="B90" s="177" t="str">
        <x:v>基准情形归母净利2026</x:v>
      </x:c>
      <x:c r="C90" s="230" t="n">
        <x:f>'合并预测'!I47</x:f>
        <x:v>0.8231908704000006</x:v>
      </x:c>
      <x:c r="D90" s="230" t="n">
        <x:v>0.8231908703999992</x:v>
      </x:c>
      <x:c r="E90" s="230" t="n">
        <x:f>C90-D90</x:f>
        <x:v>1.4432899320127035e-15</x:v>
      </x:c>
      <x:c r="F90" s="177" t="str">
        <x:f>IF(ABS(E90)&lt;0.000001,"PASS","偏离发布值")</x:f>
        <x:v>PASS</x:v>
      </x:c>
      <x:c r="G90" s="177" t="str">
        <x:v>毛利扣除费用、减值与税项</x:v>
      </x:c>
      <x:c r="H90" s="184"/>
    </x:row>
    <x:row r="91">
      <x:c r="A91" s="177" t="str">
        <x:v>CHK-base-OPP-2026</x:v>
      </x:c>
      <x:c r="B91" s="177" t="str">
        <x:v>基准情形理论收入2026</x:v>
      </x:c>
      <x:c r="C91" s="230" t="n">
        <x:f>'机会模型'!K12</x:f>
        <x:v>6.2586368000000006</x:v>
      </x:c>
      <x:c r="D91" s="230" t="n">
        <x:v>6.2586368000000006</x:v>
      </x:c>
      <x:c r="E91" s="230" t="n">
        <x:f>C91-D91</x:f>
        <x:v>0</x:v>
      </x:c>
      <x:c r="F91" s="177" t="str">
        <x:f>IF(ABS(E91)&lt;0.000001,"PASS","偏离发布值")</x:f>
        <x:v>PASS</x:v>
      </x:c>
      <x:c r="G91" s="177" t="str">
        <x:v>七条产品线需求×价格×份额</x:v>
      </x:c>
      <x:c r="H91" s="184"/>
    </x:row>
    <x:row r="92">
      <x:c r="A92" s="177" t="str">
        <x:v>CHK-base-HEAT-PRICE-2026</x:v>
      </x:c>
      <x:c r="B92" s="177" t="str">
        <x:v>基准情形热沉单价2026</x:v>
      </x:c>
      <x:c r="C92" s="230" t="n">
        <x:f>'机会模型'!C90</x:f>
        <x:v>32</x:v>
      </x:c>
      <x:c r="D92" s="230" t="n">
        <x:v>32</x:v>
      </x:c>
      <x:c r="E92" s="230" t="n">
        <x:f>C92-D92</x:f>
        <x:v>0</x:v>
      </x:c>
      <x:c r="F92" s="177" t="str">
        <x:f>IF(ABS(E92)&lt;0.000001,"PASS","偏离发布值")</x:f>
        <x:v>PASS</x:v>
      </x:c>
      <x:c r="G92" s="177" t="str">
        <x:v>ELS透镜＋热沉合计价值的一半</x:v>
      </x:c>
      <x:c r="H92" s="184"/>
    </x:row>
    <x:row r="93">
      <x:c r="A93" s="177" t="str">
        <x:v>CHK-base-HEAT-TAM-2026</x:v>
      </x:c>
      <x:c r="B93" s="177" t="str">
        <x:v>基准情形热沉空间2026</x:v>
      </x:c>
      <x:c r="C93" s="230" t="n">
        <x:f>'机会模型'!C91</x:f>
        <x:v>0.8192</x:v>
      </x:c>
      <x:c r="D93" s="230" t="n">
        <x:v>0.8192</x:v>
      </x:c>
      <x:c r="E93" s="230" t="n">
        <x:f>C93-D93</x:f>
        <x:v>0</x:v>
      </x:c>
      <x:c r="F93" s="177" t="str">
        <x:f>IF(ABS(E93)&lt;0.000001,"PASS","偏离发布值")</x:f>
        <x:v>PASS</x:v>
      </x:c>
      <x:c r="G93" s="177" t="str">
        <x:v>系统需求×128片×当年热沉单价</x:v>
      </x:c>
      <x:c r="H93" s="184"/>
    </x:row>
    <x:row r="94">
      <x:c r="A94" s="177" t="str">
        <x:v>CHK-base-HEAT-REV-2026</x:v>
      </x:c>
      <x:c r="B94" s="177" t="str">
        <x:v>基准情形热沉理论收入2026</x:v>
      </x:c>
      <x:c r="C94" s="230" t="n">
        <x:f>'机会模型'!C93</x:f>
        <x:v>0.36864</x:v>
      </x:c>
      <x:c r="D94" s="230" t="n">
        <x:v>0.36864</x:v>
      </x:c>
      <x:c r="E94" s="230" t="n">
        <x:f>C94-D94</x:f>
        <x:v>0</x:v>
      </x:c>
      <x:c r="F94" s="177" t="str">
        <x:f>IF(ABS(E94)&lt;0.000001,"PASS","偏离发布值")</x:f>
        <x:v>PASS</x:v>
      </x:c>
      <x:c r="G94" s="177" t="str">
        <x:v>热沉组件空间×公司份额，未重复加总</x:v>
      </x:c>
      <x:c r="H94" s="184"/>
    </x:row>
    <x:row r="95">
      <x:c r="A95" s="177" t="str">
        <x:v>CHK-base-REV-2027</x:v>
      </x:c>
      <x:c r="B95" s="177" t="str">
        <x:v>基准情形公司收入2027</x:v>
      </x:c>
      <x:c r="C95" s="230" t="n">
        <x:f>'合并预测'!C47</x:f>
        <x:v>39.989853600000004</x:v>
      </x:c>
      <x:c r="D95" s="230" t="n">
        <x:v>39.989853600000004</x:v>
      </x:c>
      <x:c r="E95" s="230" t="n">
        <x:f>C95-D95</x:f>
        <x:v>0</x:v>
      </x:c>
      <x:c r="F95" s="177" t="str">
        <x:f>IF(ABS(E95)&lt;0.000001,"PASS","偏离发布值")</x:f>
        <x:v>PASS</x:v>
      </x:c>
      <x:c r="G95" s="177" t="str">
        <x:v>非光通信＋逐产品兑现收入</x:v>
      </x:c>
      <x:c r="H95" s="184"/>
    </x:row>
    <x:row r="96">
      <x:c r="A96" s="177" t="str">
        <x:v>CHK-base-NP-2027</x:v>
      </x:c>
      <x:c r="B96" s="177" t="str">
        <x:v>基准情形归母净利2027</x:v>
      </x:c>
      <x:c r="C96" s="230" t="n">
        <x:f>'合并预测'!J47</x:f>
        <x:v>8.453124351300003</x:v>
      </x:c>
      <x:c r="D96" s="230" t="n">
        <x:v>8.4531243513</x:v>
      </x:c>
      <x:c r="E96" s="230" t="n">
        <x:f>C96-D96</x:f>
        <x:v>3.552713678800501e-15</x:v>
      </x:c>
      <x:c r="F96" s="177" t="str">
        <x:f>IF(ABS(E96)&lt;0.000001,"PASS","偏离发布值")</x:f>
        <x:v>PASS</x:v>
      </x:c>
      <x:c r="G96" s="177" t="str">
        <x:v>毛利扣除费用、减值与税项</x:v>
      </x:c>
      <x:c r="H96" s="184"/>
    </x:row>
    <x:row r="97">
      <x:c r="A97" s="177" t="str">
        <x:v>CHK-base-OPP-2027</x:v>
      </x:c>
      <x:c r="B97" s="177" t="str">
        <x:v>基准情形理论收入2027</x:v>
      </x:c>
      <x:c r="C97" s="230" t="n">
        <x:f>'机会模型'!L12</x:f>
        <x:v>41.247688000000004</x:v>
      </x:c>
      <x:c r="D97" s="230" t="n">
        <x:v>41.247688000000004</x:v>
      </x:c>
      <x:c r="E97" s="230" t="n">
        <x:f>C97-D97</x:f>
        <x:v>0</x:v>
      </x:c>
      <x:c r="F97" s="177" t="str">
        <x:f>IF(ABS(E97)&lt;0.000001,"PASS","偏离发布值")</x:f>
        <x:v>PASS</x:v>
      </x:c>
      <x:c r="G97" s="177" t="str">
        <x:v>七条产品线需求×价格×份额</x:v>
      </x:c>
      <x:c r="H97" s="184"/>
    </x:row>
    <x:row r="98">
      <x:c r="A98" s="177" t="str">
        <x:v>CHK-base-HEAT-PRICE-2027</x:v>
      </x:c>
      <x:c r="B98" s="177" t="str">
        <x:v>基准情形热沉单价2027</x:v>
      </x:c>
      <x:c r="C98" s="230" t="n">
        <x:f>'机会模型'!D90</x:f>
        <x:v>25.6</x:v>
      </x:c>
      <x:c r="D98" s="230" t="n">
        <x:v>25.6</x:v>
      </x:c>
      <x:c r="E98" s="230" t="n">
        <x:f>C98-D98</x:f>
        <x:v>0</x:v>
      </x:c>
      <x:c r="F98" s="177" t="str">
        <x:f>IF(ABS(E98)&lt;0.000001,"PASS","偏离发布值")</x:f>
        <x:v>PASS</x:v>
      </x:c>
      <x:c r="G98" s="177" t="str">
        <x:v>ELS透镜＋热沉合计价值的一半</x:v>
      </x:c>
      <x:c r="H98" s="184"/>
    </x:row>
    <x:row r="99">
      <x:c r="A99" s="177" t="str">
        <x:v>CHK-base-HEAT-TAM-2027</x:v>
      </x:c>
      <x:c r="B99" s="177" t="str">
        <x:v>基准情形热沉空间2027</x:v>
      </x:c>
      <x:c r="C99" s="230" t="n">
        <x:f>'机会模型'!D91</x:f>
        <x:v>6.5536</x:v>
      </x:c>
      <x:c r="D99" s="230" t="n">
        <x:v>6.5536</x:v>
      </x:c>
      <x:c r="E99" s="230" t="n">
        <x:f>C99-D99</x:f>
        <x:v>0</x:v>
      </x:c>
      <x:c r="F99" s="177" t="str">
        <x:f>IF(ABS(E99)&lt;0.000001,"PASS","偏离发布值")</x:f>
        <x:v>PASS</x:v>
      </x:c>
      <x:c r="G99" s="177" t="str">
        <x:v>系统需求×128片×当年热沉单价</x:v>
      </x:c>
      <x:c r="H99" s="184"/>
    </x:row>
    <x:row r="100">
      <x:c r="A100" s="177" t="str">
        <x:v>CHK-base-HEAT-REV-2027</x:v>
      </x:c>
      <x:c r="B100" s="177" t="str">
        <x:v>基准情形热沉理论收入2027</x:v>
      </x:c>
      <x:c r="C100" s="230" t="n">
        <x:f>'机会模型'!D93</x:f>
        <x:v>2.94912</x:v>
      </x:c>
      <x:c r="D100" s="230" t="n">
        <x:v>2.94912</x:v>
      </x:c>
      <x:c r="E100" s="230" t="n">
        <x:f>C100-D100</x:f>
        <x:v>0</x:v>
      </x:c>
      <x:c r="F100" s="177" t="str">
        <x:f>IF(ABS(E100)&lt;0.000001,"PASS","偏离发布值")</x:f>
        <x:v>PASS</x:v>
      </x:c>
      <x:c r="G100" s="177" t="str">
        <x:v>热沉组件空间×公司份额，未重复加总</x:v>
      </x:c>
      <x:c r="H100" s="184"/>
    </x:row>
    <x:row r="101">
      <x:c r="A101" s="177" t="str">
        <x:v>CHK-base-REV-2028</x:v>
      </x:c>
      <x:c r="B101" s="177" t="str">
        <x:v>基准情形公司收入2028</x:v>
      </x:c>
      <x:c r="C101" s="230" t="n">
        <x:f>'合并预测'!D47</x:f>
        <x:v>107.689760688</x:v>
      </x:c>
      <x:c r="D101" s="230" t="n">
        <x:v>107.689760688</x:v>
      </x:c>
      <x:c r="E101" s="230" t="n">
        <x:f>C101-D101</x:f>
        <x:v>0</x:v>
      </x:c>
      <x:c r="F101" s="177" t="str">
        <x:f>IF(ABS(E101)&lt;0.000001,"PASS","偏离发布值")</x:f>
        <x:v>PASS</x:v>
      </x:c>
      <x:c r="G101" s="177" t="str">
        <x:v>非光通信＋逐产品兑现收入</x:v>
      </x:c>
      <x:c r="H101" s="184"/>
    </x:row>
    <x:row r="102">
      <x:c r="A102" s="177" t="str">
        <x:v>CHK-base-NP-2028</x:v>
      </x:c>
      <x:c r="B102" s="177" t="str">
        <x:v>基准情形归母净利2028</x:v>
      </x:c>
      <x:c r="C102" s="230" t="n">
        <x:f>'合并预测'!K47</x:f>
        <x:v>31.040182043820398</x:v>
      </x:c>
      <x:c r="D102" s="230" t="n">
        <x:v>31.040182043820398</x:v>
      </x:c>
      <x:c r="E102" s="230" t="n">
        <x:f>C102-D102</x:f>
        <x:v>0</x:v>
      </x:c>
      <x:c r="F102" s="177" t="str">
        <x:f>IF(ABS(E102)&lt;0.000001,"PASS","偏离发布值")</x:f>
        <x:v>PASS</x:v>
      </x:c>
      <x:c r="G102" s="177" t="str">
        <x:v>毛利扣除费用、减值与税项</x:v>
      </x:c>
      <x:c r="H102" s="184"/>
    </x:row>
    <x:row r="103">
      <x:c r="A103" s="177" t="str">
        <x:v>CHK-base-OPP-2028</x:v>
      </x:c>
      <x:c r="B103" s="177" t="str">
        <x:v>基准情形理论收入2028</x:v>
      </x:c>
      <x:c r="C103" s="230" t="n">
        <x:f>'机会模型'!M12</x:f>
        <x:v>119.16886335999999</x:v>
      </x:c>
      <x:c r="D103" s="230" t="n">
        <x:v>119.16886335999999</x:v>
      </x:c>
      <x:c r="E103" s="230" t="n">
        <x:f>C103-D103</x:f>
        <x:v>0</x:v>
      </x:c>
      <x:c r="F103" s="177" t="str">
        <x:f>IF(ABS(E103)&lt;0.000001,"PASS","偏离发布值")</x:f>
        <x:v>PASS</x:v>
      </x:c>
      <x:c r="G103" s="177" t="str">
        <x:v>七条产品线需求×价格×份额</x:v>
      </x:c>
      <x:c r="H103" s="184"/>
    </x:row>
    <x:row r="104">
      <x:c r="A104" s="177" t="str">
        <x:v>CHK-base-HEAT-PRICE-2028</x:v>
      </x:c>
      <x:c r="B104" s="177" t="str">
        <x:v>基准情形热沉单价2028</x:v>
      </x:c>
      <x:c r="C104" s="230" t="n">
        <x:f>'机会模型'!E90</x:f>
        <x:v>25.344</x:v>
      </x:c>
      <x:c r="D104" s="230" t="n">
        <x:v>25.344</x:v>
      </x:c>
      <x:c r="E104" s="230" t="n">
        <x:f>C104-D104</x:f>
        <x:v>0</x:v>
      </x:c>
      <x:c r="F104" s="177" t="str">
        <x:f>IF(ABS(E104)&lt;0.000001,"PASS","偏离发布值")</x:f>
        <x:v>PASS</x:v>
      </x:c>
      <x:c r="G104" s="177" t="str">
        <x:v>ELS透镜＋热沉合计价值的一半</x:v>
      </x:c>
      <x:c r="H104" s="184"/>
    </x:row>
    <x:row r="105">
      <x:c r="A105" s="177" t="str">
        <x:v>CHK-base-HEAT-TAM-2028</x:v>
      </x:c>
      <x:c r="B105" s="177" t="str">
        <x:v>基准情形热沉空间2028</x:v>
      </x:c>
      <x:c r="C105" s="230" t="n">
        <x:f>'机会模型'!E91</x:f>
        <x:v>16.22016</x:v>
      </x:c>
      <x:c r="D105" s="230" t="n">
        <x:v>16.22016</x:v>
      </x:c>
      <x:c r="E105" s="230" t="n">
        <x:f>C105-D105</x:f>
        <x:v>0</x:v>
      </x:c>
      <x:c r="F105" s="177" t="str">
        <x:f>IF(ABS(E105)&lt;0.000001,"PASS","偏离发布值")</x:f>
        <x:v>PASS</x:v>
      </x:c>
      <x:c r="G105" s="177" t="str">
        <x:v>系统需求×128片×当年热沉单价</x:v>
      </x:c>
      <x:c r="H105" s="184"/>
    </x:row>
    <x:row r="106">
      <x:c r="A106" s="177" t="str">
        <x:v>CHK-base-HEAT-REV-2028</x:v>
      </x:c>
      <x:c r="B106" s="177" t="str">
        <x:v>基准情形热沉理论收入2028</x:v>
      </x:c>
      <x:c r="C106" s="230" t="n">
        <x:f>'机会模型'!E93</x:f>
        <x:v>7.3973759999999995</x:v>
      </x:c>
      <x:c r="D106" s="230" t="n">
        <x:v>7.3973759999999995</x:v>
      </x:c>
      <x:c r="E106" s="230" t="n">
        <x:f>C106-D106</x:f>
        <x:v>0</x:v>
      </x:c>
      <x:c r="F106" s="177" t="str">
        <x:f>IF(ABS(E106)&lt;0.000001,"PASS","偏离发布值")</x:f>
        <x:v>PASS</x:v>
      </x:c>
      <x:c r="G106" s="177" t="str">
        <x:v>热沉组件空间×公司份额，未重复加总</x:v>
      </x:c>
      <x:c r="H106" s="184"/>
    </x:row>
    <x:row r="107">
      <x:c r="A107" s="177" t="str">
        <x:v>CHK-base-REV-2029</x:v>
      </x:c>
      <x:c r="B107" s="177" t="str">
        <x:v>基准情形公司收入2029</x:v>
      </x:c>
      <x:c r="C107" s="230" t="n">
        <x:f>'合并预测'!E47</x:f>
        <x:v>184.96422548448004</x:v>
      </x:c>
      <x:c r="D107" s="230" t="n">
        <x:v>184.96422548448004</x:v>
      </x:c>
      <x:c r="E107" s="230" t="n">
        <x:f>C107-D107</x:f>
        <x:v>0</x:v>
      </x:c>
      <x:c r="F107" s="177" t="str">
        <x:f>IF(ABS(E107)&lt;0.000001,"PASS","偏离发布值")</x:f>
        <x:v>PASS</x:v>
      </x:c>
      <x:c r="G107" s="177" t="str">
        <x:v>非光通信＋逐产品兑现收入</x:v>
      </x:c>
      <x:c r="H107" s="184"/>
    </x:row>
    <x:row r="108">
      <x:c r="A108" s="177" t="str">
        <x:v>CHK-base-NP-2029</x:v>
      </x:c>
      <x:c r="B108" s="177" t="str">
        <x:v>基准情形归母净利2029</x:v>
      </x:c>
      <x:c r="C108" s="230" t="n">
        <x:f>'合并预测'!L47</x:f>
        <x:v>56.5279006940162</x:v>
      </x:c>
      <x:c r="D108" s="230" t="n">
        <x:v>56.5279006940162</x:v>
      </x:c>
      <x:c r="E108" s="230" t="n">
        <x:f>C108-D108</x:f>
        <x:v>0</x:v>
      </x:c>
      <x:c r="F108" s="177" t="str">
        <x:f>IF(ABS(E108)&lt;0.000001,"PASS","偏离发布值")</x:f>
        <x:v>PASS</x:v>
      </x:c>
      <x:c r="G108" s="177" t="str">
        <x:v>毛利扣除费用、减值与税项</x:v>
      </x:c>
      <x:c r="H108" s="184"/>
    </x:row>
    <x:row r="109">
      <x:c r="A109" s="177" t="str">
        <x:v>CHK-base-OPP-2029</x:v>
      </x:c>
      <x:c r="B109" s="177" t="str">
        <x:v>基准情形理论收入2029</x:v>
      </x:c>
      <x:c r="C109" s="230" t="n">
        <x:f>'机会模型'!N12</x:f>
        <x:v>214.0201181056</x:v>
      </x:c>
      <x:c r="D109" s="230" t="n">
        <x:v>214.0201181056</x:v>
      </x:c>
      <x:c r="E109" s="230" t="n">
        <x:f>C109-D109</x:f>
        <x:v>0</x:v>
      </x:c>
      <x:c r="F109" s="177" t="str">
        <x:f>IF(ABS(E109)&lt;0.000001,"PASS","偏离发布值")</x:f>
        <x:v>PASS</x:v>
      </x:c>
      <x:c r="G109" s="177" t="str">
        <x:v>七条产品线需求×价格×份额</x:v>
      </x:c>
      <x:c r="H109" s="184"/>
    </x:row>
    <x:row r="110">
      <x:c r="A110" s="177" t="str">
        <x:v>CHK-base-HEAT-PRICE-2029</x:v>
      </x:c>
      <x:c r="B110" s="177" t="str">
        <x:v>基准情形热沉单价2029</x:v>
      </x:c>
      <x:c r="C110" s="230" t="n">
        <x:f>'机会模型'!F90</x:f>
        <x:v>24.1056</x:v>
      </x:c>
      <x:c r="D110" s="230" t="n">
        <x:v>24.1056</x:v>
      </x:c>
      <x:c r="E110" s="230" t="n">
        <x:f>C110-D110</x:f>
        <x:v>0</x:v>
      </x:c>
      <x:c r="F110" s="177" t="str">
        <x:f>IF(ABS(E110)&lt;0.000001,"PASS","偏离发布值")</x:f>
        <x:v>PASS</x:v>
      </x:c>
      <x:c r="G110" s="177" t="str">
        <x:v>ELS透镜＋热沉合计价值的一半</x:v>
      </x:c>
      <x:c r="H110" s="184"/>
    </x:row>
    <x:row r="111">
      <x:c r="A111" s="177" t="str">
        <x:v>CHK-base-HEAT-TAM-2029</x:v>
      </x:c>
      <x:c r="B111" s="177" t="str">
        <x:v>基准情形热沉空间2029</x:v>
      </x:c>
      <x:c r="C111" s="230" t="n">
        <x:f>'机会模型'!F91</x:f>
        <x:v>26.2268928</x:v>
      </x:c>
      <x:c r="D111" s="230" t="n">
        <x:v>26.2268928</x:v>
      </x:c>
      <x:c r="E111" s="230" t="n">
        <x:f>C111-D111</x:f>
        <x:v>0</x:v>
      </x:c>
      <x:c r="F111" s="177" t="str">
        <x:f>IF(ABS(E111)&lt;0.000001,"PASS","偏离发布值")</x:f>
        <x:v>PASS</x:v>
      </x:c>
      <x:c r="G111" s="177" t="str">
        <x:v>系统需求×128片×当年热沉单价</x:v>
      </x:c>
      <x:c r="H111" s="184"/>
    </x:row>
    <x:row r="112">
      <x:c r="A112" s="177" t="str">
        <x:v>CHK-base-HEAT-REV-2029</x:v>
      </x:c>
      <x:c r="B112" s="177" t="str">
        <x:v>基准情形热沉理论收入2029</x:v>
      </x:c>
      <x:c r="C112" s="230" t="n">
        <x:f>'机会模型'!F93</x:f>
        <x:v>11.844403200000002</x:v>
      </x:c>
      <x:c r="D112" s="230" t="n">
        <x:v>11.844403200000002</x:v>
      </x:c>
      <x:c r="E112" s="230" t="n">
        <x:f>C112-D112</x:f>
        <x:v>0</x:v>
      </x:c>
      <x:c r="F112" s="177" t="str">
        <x:f>IF(ABS(E112)&lt;0.000001,"PASS","偏离发布值")</x:f>
        <x:v>PASS</x:v>
      </x:c>
      <x:c r="G112" s="177" t="str">
        <x:v>热沉组件空间×公司份额，未重复加总</x:v>
      </x:c>
      <x:c r="H112" s="184"/>
    </x:row>
    <x:row r="113">
      <x:c r="A113" s="177" t="str">
        <x:v>CHK-base-REV-2030</x:v>
      </x:c>
      <x:c r="B113" s="177" t="str">
        <x:v>基准情形公司收入2030</x:v>
      </x:c>
      <x:c r="C113" s="230" t="n">
        <x:f>'合并预测'!F47</x:f>
        <x:v>256.108988794752</x:v>
      </x:c>
      <x:c r="D113" s="230" t="n">
        <x:v>256.108988794752</x:v>
      </x:c>
      <x:c r="E113" s="230" t="n">
        <x:f>C113-D113</x:f>
        <x:v>0</x:v>
      </x:c>
      <x:c r="F113" s="177" t="str">
        <x:f>IF(ABS(E113)&lt;0.000001,"PASS","偏离发布值")</x:f>
        <x:v>PASS</x:v>
      </x:c>
      <x:c r="G113" s="177" t="str">
        <x:v>非光通信＋逐产品兑现收入</x:v>
      </x:c>
      <x:c r="H113" s="184"/>
    </x:row>
    <x:row r="114">
      <x:c r="A114" s="177" t="str">
        <x:v>CHK-base-NP-2030</x:v>
      </x:c>
      <x:c r="B114" s="177" t="str">
        <x:v>基准情形归母净利2030</x:v>
      </x:c>
      <x:c r="C114" s="230" t="n">
        <x:f>'合并预测'!M47</x:f>
        <x:v>81.91264559950922</x:v>
      </x:c>
      <x:c r="D114" s="230" t="n">
        <x:v>81.91264559950922</x:v>
      </x:c>
      <x:c r="E114" s="230" t="n">
        <x:f>C114-D114</x:f>
        <x:v>0</x:v>
      </x:c>
      <x:c r="F114" s="177" t="str">
        <x:f>IF(ABS(E114)&lt;0.000001,"PASS","偏离发布值")</x:f>
        <x:v>PASS</x:v>
      </x:c>
      <x:c r="G114" s="177" t="str">
        <x:v>毛利扣除费用、减值与税项</x:v>
      </x:c>
      <x:c r="H114" s="184"/>
    </x:row>
    <x:row r="115">
      <x:c r="A115" s="177" t="str">
        <x:v>CHK-base-OPP-2030</x:v>
      </x:c>
      <x:c r="B115" s="177" t="str">
        <x:v>基准情形理论收入2030</x:v>
      </x:c>
      <x:c r="C115" s="230" t="n">
        <x:f>'机会模型'!O12</x:f>
        <x:v>301.63957849344</x:v>
      </x:c>
      <x:c r="D115" s="230" t="n">
        <x:v>301.63957849344</x:v>
      </x:c>
      <x:c r="E115" s="230" t="n">
        <x:f>C115-D115</x:f>
        <x:v>0</x:v>
      </x:c>
      <x:c r="F115" s="177" t="str">
        <x:f>IF(ABS(E115)&lt;0.000001,"PASS","偏离发布值")</x:f>
        <x:v>PASS</x:v>
      </x:c>
      <x:c r="G115" s="177" t="str">
        <x:v>七条产品线需求×价格×份额</x:v>
      </x:c>
      <x:c r="H115" s="184"/>
    </x:row>
    <x:row r="116">
      <x:c r="A116" s="177" t="str">
        <x:v>CHK-base-HEAT-PRICE-2030</x:v>
      </x:c>
      <x:c r="B116" s="177" t="str">
        <x:v>基准情形热沉单价2030</x:v>
      </x:c>
      <x:c r="C116" s="230" t="n">
        <x:f>'机会模型'!G90</x:f>
        <x:v>22.39488</x:v>
      </x:c>
      <x:c r="D116" s="230" t="n">
        <x:v>22.394880000000004</x:v>
      </x:c>
      <x:c r="E116" s="230" t="n">
        <x:f>C116-D116</x:f>
        <x:v>-3.552713678800501e-15</x:v>
      </x:c>
      <x:c r="F116" s="177" t="str">
        <x:f>IF(ABS(E116)&lt;0.000001,"PASS","偏离发布值")</x:f>
        <x:v>PASS</x:v>
      </x:c>
      <x:c r="G116" s="177" t="str">
        <x:v>ELS透镜＋热沉合计价值的一半</x:v>
      </x:c>
      <x:c r="H116" s="184"/>
    </x:row>
    <x:row r="117">
      <x:c r="A117" s="177" t="str">
        <x:v>CHK-base-HEAT-TAM-2030</x:v>
      </x:c>
      <x:c r="B117" s="177" t="str">
        <x:v>基准情形热沉空间2030</x:v>
      </x:c>
      <x:c r="C117" s="230" t="n">
        <x:f>'机会模型'!G91</x:f>
        <x:v>34.39853568</x:v>
      </x:c>
      <x:c r="D117" s="230" t="n">
        <x:v>34.39853568</x:v>
      </x:c>
      <x:c r="E117" s="230" t="n">
        <x:f>C117-D117</x:f>
        <x:v>0</x:v>
      </x:c>
      <x:c r="F117" s="177" t="str">
        <x:f>IF(ABS(E117)&lt;0.000001,"PASS","偏离发布值")</x:f>
        <x:v>PASS</x:v>
      </x:c>
      <x:c r="G117" s="177" t="str">
        <x:v>系统需求×128片×当年热沉单价</x:v>
      </x:c>
      <x:c r="H117" s="184"/>
    </x:row>
    <x:row r="118">
      <x:c r="A118" s="177" t="str">
        <x:v>CHK-base-HEAT-REV-2030</x:v>
      </x:c>
      <x:c r="B118" s="177" t="str">
        <x:v>基准情形热沉理论收入2030</x:v>
      </x:c>
      <x:c r="C118" s="230" t="n">
        <x:f>'机会模型'!G93</x:f>
        <x:v>15.192686592000001</x:v>
      </x:c>
      <x:c r="D118" s="230" t="n">
        <x:v>15.192686592000001</x:v>
      </x:c>
      <x:c r="E118" s="230" t="n">
        <x:f>C118-D118</x:f>
        <x:v>0</x:v>
      </x:c>
      <x:c r="F118" s="177" t="str">
        <x:f>IF(ABS(E118)&lt;0.000001,"PASS","偏离发布值")</x:f>
        <x:v>PASS</x:v>
      </x:c>
      <x:c r="G118" s="177" t="str">
        <x:v>热沉组件空间×公司份额，未重复加总</x:v>
      </x:c>
      <x:c r="H118" s="184"/>
    </x:row>
    <x:row r="119">
      <x:c r="A119" s="177" t="str">
        <x:v>CHK-base-REALIZATION</x:v>
      </x:c>
      <x:c r="B119" s="177" t="str">
        <x:v>基准情形兑现率下限</x:v>
      </x:c>
      <x:c r="C119" s="230" t="n">
        <x:f>MIN('机会输入'!C50:G56)</x:f>
        <x:v>0</x:v>
      </x:c>
      <x:c r="D119" s="230" t="n">
        <x:v>0</x:v>
      </x:c>
      <x:c r="E119" s="230" t="n">
        <x:f>C119-D119</x:f>
        <x:v>0</x:v>
      </x:c>
      <x:c r="F119" s="177" t="str">
        <x:f>IF(ABS(E119)&lt;0.000001,"PASS","偏离发布值")</x:f>
        <x:v>PASS</x:v>
      </x:c>
      <x:c r="G119" s="177" t="str">
        <x:v>按产品交付阶段设定；设备2026年为0</x:v>
      </x:c>
      <x:c r="H119" s="184"/>
    </x:row>
    <x:row r="120">
      <x:c r="A120" s="177" t="str">
        <x:v>CHK-base-VALUE-25</x:v>
      </x:c>
      <x:c r="B120" s="177" t="str">
        <x:v>基准情形25x每股价值</x:v>
      </x:c>
      <x:c r="C120" s="230" t="n">
        <x:f>'估值模型'!C6</x:f>
        <x:v>511.2218279219676</x:v>
      </x:c>
      <x:c r="D120" s="230" t="n">
        <x:v>511.2218279219676</x:v>
      </x:c>
      <x:c r="E120" s="230" t="n">
        <x:f>C120-D120</x:f>
        <x:v>0</x:v>
      </x:c>
      <x:c r="F120" s="177" t="str">
        <x:f>IF(ABS(E120)&lt;0.000001,"PASS","偏离发布值")</x:f>
        <x:v>PASS</x:v>
      </x:c>
      <x:c r="G120" s="177" t="str">
        <x:v>2028归母净利×PE，经8%折现</x:v>
      </x:c>
      <x:c r="H120" s="184"/>
    </x:row>
    <x:row r="121">
      <x:c r="A121" s="177" t="str">
        <x:v>CHK-base-VALUE-30</x:v>
      </x:c>
      <x:c r="B121" s="177" t="str">
        <x:v>基准情形30x每股价值</x:v>
      </x:c>
      <x:c r="C121" s="230" t="n">
        <x:f>'估值模型'!D6</x:f>
        <x:v>613.4661935063612</x:v>
      </x:c>
      <x:c r="D121" s="230" t="n">
        <x:v>613.4661935063612</x:v>
      </x:c>
      <x:c r="E121" s="230" t="n">
        <x:f>C121-D121</x:f>
        <x:v>0</x:v>
      </x:c>
      <x:c r="F121" s="177" t="str">
        <x:f>IF(ABS(E121)&lt;0.000001,"PASS","偏离发布值")</x:f>
        <x:v>PASS</x:v>
      </x:c>
      <x:c r="G121" s="177" t="str">
        <x:v>2028归母净利×PE，经8%折现</x:v>
      </x:c>
      <x:c r="H121" s="184"/>
    </x:row>
    <x:row r="122">
      <x:c r="A122" s="177" t="str">
        <x:v>CHK-base-VALUE-35</x:v>
      </x:c>
      <x:c r="B122" s="177" t="str">
        <x:v>基准情形35x每股价值</x:v>
      </x:c>
      <x:c r="C122" s="230" t="n">
        <x:f>'估值模型'!E6</x:f>
        <x:v>715.7105590907546</x:v>
      </x:c>
      <x:c r="D122" s="230" t="n">
        <x:v>715.7105590907546</x:v>
      </x:c>
      <x:c r="E122" s="230" t="n">
        <x:f>C122-D122</x:f>
        <x:v>0</x:v>
      </x:c>
      <x:c r="F122" s="177" t="str">
        <x:f>IF(ABS(E122)&lt;0.000001,"PASS","偏离发布值")</x:f>
        <x:v>PASS</x:v>
      </x:c>
      <x:c r="G122" s="177" t="str">
        <x:v>2028归母净利×PE，经8%折现</x:v>
      </x:c>
      <x:c r="H122" s="184"/>
    </x:row>
    <x:row r="123">
      <x:c r="A123" s="177" t="str">
        <x:v>CHK-optimistic-REV-2026</x:v>
      </x:c>
      <x:c r="B123" s="177" t="str">
        <x:v>乐观情形公司收入2026</x:v>
      </x:c>
      <x:c r="C123" s="230" t="n">
        <x:f>'合并预测'!B48</x:f>
        <x:v>12.28284992</x:v>
      </x:c>
      <x:c r="D123" s="230" t="n">
        <x:v>12.28284992</x:v>
      </x:c>
      <x:c r="E123" s="230" t="n">
        <x:f>C123-D123</x:f>
        <x:v>0</x:v>
      </x:c>
      <x:c r="F123" s="177" t="str">
        <x:f>IF(ABS(E123)&lt;0.000001,"PASS","偏离发布值")</x:f>
        <x:v>PASS</x:v>
      </x:c>
      <x:c r="G123" s="177" t="str">
        <x:v>非光通信＋逐产品兑现收入</x:v>
      </x:c>
      <x:c r="H123" s="184"/>
    </x:row>
    <x:row r="124">
      <x:c r="A124" s="177" t="str">
        <x:v>CHK-optimistic-NP-2026</x:v>
      </x:c>
      <x:c r="B124" s="177" t="str">
        <x:v>乐观情形归母净利2026</x:v>
      </x:c>
      <x:c r="C124" s="230" t="n">
        <x:f>'合并预测'!I48</x:f>
        <x:v>1.0573068307200002</x:v>
      </x:c>
      <x:c r="D124" s="230" t="n">
        <x:v>1.057306830719999</x:v>
      </x:c>
      <x:c r="E124" s="230" t="n">
        <x:f>C124-D124</x:f>
        <x:v>1.1102230246251565e-15</x:v>
      </x:c>
      <x:c r="F124" s="177" t="str">
        <x:f>IF(ABS(E124)&lt;0.000001,"PASS","偏离发布值")</x:f>
        <x:v>PASS</x:v>
      </x:c>
      <x:c r="G124" s="177" t="str">
        <x:v>毛利扣除费用、减值与税项</x:v>
      </x:c>
      <x:c r="H124" s="184"/>
    </x:row>
    <x:row r="125">
      <x:c r="A125" s="177" t="str">
        <x:v>CHK-optimistic-OPP-2026</x:v>
      </x:c>
      <x:c r="B125" s="177" t="str">
        <x:v>乐观情形理论收入2026</x:v>
      </x:c>
      <x:c r="C125" s="230" t="n">
        <x:f>'机会模型'!Q12</x:f>
        <x:v>7.76242624</x:v>
      </x:c>
      <x:c r="D125" s="230" t="n">
        <x:v>7.76242624</x:v>
      </x:c>
      <x:c r="E125" s="230" t="n">
        <x:f>C125-D125</x:f>
        <x:v>0</x:v>
      </x:c>
      <x:c r="F125" s="177" t="str">
        <x:f>IF(ABS(E125)&lt;0.000001,"PASS","偏离发布值")</x:f>
        <x:v>PASS</x:v>
      </x:c>
      <x:c r="G125" s="177" t="str">
        <x:v>七条产品线需求×价格×份额</x:v>
      </x:c>
      <x:c r="H125" s="184"/>
    </x:row>
    <x:row r="126">
      <x:c r="A126" s="177" t="str">
        <x:v>CHK-optimistic-HEAT-PRICE-2026</x:v>
      </x:c>
      <x:c r="B126" s="177" t="str">
        <x:v>乐观情形热沉单价2026</x:v>
      </x:c>
      <x:c r="C126" s="230" t="n">
        <x:f>'机会模型'!C100</x:f>
        <x:v>35.2</x:v>
      </x:c>
      <x:c r="D126" s="230" t="n">
        <x:v>35.2</x:v>
      </x:c>
      <x:c r="E126" s="230" t="n">
        <x:f>C126-D126</x:f>
        <x:v>0</x:v>
      </x:c>
      <x:c r="F126" s="177" t="str">
        <x:f>IF(ABS(E126)&lt;0.000001,"PASS","偏离发布值")</x:f>
        <x:v>PASS</x:v>
      </x:c>
      <x:c r="G126" s="177" t="str">
        <x:v>ELS透镜＋热沉合计价值的一半</x:v>
      </x:c>
      <x:c r="H126" s="184"/>
    </x:row>
    <x:row r="127">
      <x:c r="A127" s="177" t="str">
        <x:v>CHK-optimistic-HEAT-TAM-2026</x:v>
      </x:c>
      <x:c r="B127" s="177" t="str">
        <x:v>乐观情形热沉空间2026</x:v>
      </x:c>
      <x:c r="C127" s="230" t="n">
        <x:f>'机会模型'!C101</x:f>
        <x:v>0.90112</x:v>
      </x:c>
      <x:c r="D127" s="230" t="n">
        <x:v>0.90112</x:v>
      </x:c>
      <x:c r="E127" s="230" t="n">
        <x:f>C127-D127</x:f>
        <x:v>0</x:v>
      </x:c>
      <x:c r="F127" s="177" t="str">
        <x:f>IF(ABS(E127)&lt;0.000001,"PASS","偏离发布值")</x:f>
        <x:v>PASS</x:v>
      </x:c>
      <x:c r="G127" s="177" t="str">
        <x:v>系统需求×128片×当年热沉单价</x:v>
      </x:c>
      <x:c r="H127" s="184"/>
    </x:row>
    <x:row r="128">
      <x:c r="A128" s="177" t="str">
        <x:v>CHK-optimistic-HEAT-REV-2026</x:v>
      </x:c>
      <x:c r="B128" s="177" t="str">
        <x:v>乐观情形热沉理论收入2026</x:v>
      </x:c>
      <x:c r="C128" s="230" t="n">
        <x:f>'机会模型'!C103</x:f>
        <x:v>0.456192</x:v>
      </x:c>
      <x:c r="D128" s="230" t="n">
        <x:v>0.456192</x:v>
      </x:c>
      <x:c r="E128" s="230" t="n">
        <x:f>C128-D128</x:f>
        <x:v>0</x:v>
      </x:c>
      <x:c r="F128" s="177" t="str">
        <x:f>IF(ABS(E128)&lt;0.000001,"PASS","偏离发布值")</x:f>
        <x:v>PASS</x:v>
      </x:c>
      <x:c r="G128" s="177" t="str">
        <x:v>热沉组件空间×公司份额，未重复加总</x:v>
      </x:c>
      <x:c r="H128" s="184"/>
    </x:row>
    <x:row r="129">
      <x:c r="A129" s="177" t="str">
        <x:v>CHK-optimistic-REV-2027</x:v>
      </x:c>
      <x:c r="B129" s="177" t="str">
        <x:v>乐观情形公司收入2027</x:v>
      </x:c>
      <x:c r="C129" s="230" t="n">
        <x:f>'合并预测'!C48</x:f>
        <x:v>46.77619077333334</x:v>
      </x:c>
      <x:c r="D129" s="230" t="n">
        <x:v>46.77619077333334</x:v>
      </x:c>
      <x:c r="E129" s="230" t="n">
        <x:f>C129-D129</x:f>
        <x:v>0</x:v>
      </x:c>
      <x:c r="F129" s="177" t="str">
        <x:f>IF(ABS(E129)&lt;0.000001,"PASS","偏离发布值")</x:f>
        <x:v>PASS</x:v>
      </x:c>
      <x:c r="G129" s="177" t="str">
        <x:v>非光通信＋逐产品兑现收入</x:v>
      </x:c>
      <x:c r="H129" s="184"/>
    </x:row>
    <x:row r="130">
      <x:c r="A130" s="177" t="str">
        <x:v>CHK-optimistic-NP-2027</x:v>
      </x:c>
      <x:c r="B130" s="177" t="str">
        <x:v>乐观情形归母净利2027</x:v>
      </x:c>
      <x:c r="C130" s="230" t="n">
        <x:f>'合并预测'!J48</x:f>
        <x:v>10.140377431020003</x:v>
      </x:c>
      <x:c r="D130" s="230" t="n">
        <x:v>10.140377431020003</x:v>
      </x:c>
      <x:c r="E130" s="230" t="n">
        <x:f>C130-D130</x:f>
        <x:v>0</x:v>
      </x:c>
      <x:c r="F130" s="177" t="str">
        <x:f>IF(ABS(E130)&lt;0.000001,"PASS","偏离发布值")</x:f>
        <x:v>PASS</x:v>
      </x:c>
      <x:c r="G130" s="177" t="str">
        <x:v>毛利扣除费用、减值与税项</x:v>
      </x:c>
      <x:c r="H130" s="184"/>
    </x:row>
    <x:row r="131">
      <x:c r="A131" s="177" t="str">
        <x:v>CHK-optimistic-OPP-2027</x:v>
      </x:c>
      <x:c r="B131" s="177" t="str">
        <x:v>乐观情形理论收入2027</x:v>
      </x:c>
      <x:c r="C131" s="230" t="n">
        <x:f>'机会模型'!R12</x:f>
        <x:v>50.21304586666668</x:v>
      </x:c>
      <x:c r="D131" s="230" t="n">
        <x:v>50.21304586666667</x:v>
      </x:c>
      <x:c r="E131" s="230" t="n">
        <x:f>C131-D131</x:f>
        <x:v>1.4210854715202004e-14</x:v>
      </x:c>
      <x:c r="F131" s="177" t="str">
        <x:f>IF(ABS(E131)&lt;0.000001,"PASS","偏离发布值")</x:f>
        <x:v>PASS</x:v>
      </x:c>
      <x:c r="G131" s="177" t="str">
        <x:v>七条产品线需求×价格×份额</x:v>
      </x:c>
      <x:c r="H131" s="184"/>
    </x:row>
    <x:row r="132">
      <x:c r="A132" s="177" t="str">
        <x:v>CHK-optimistic-HEAT-PRICE-2027</x:v>
      </x:c>
      <x:c r="B132" s="177" t="str">
        <x:v>乐观情形热沉单价2027</x:v>
      </x:c>
      <x:c r="C132" s="230" t="n">
        <x:f>'机会模型'!D100</x:f>
        <x:v>28.160000000000004</x:v>
      </x:c>
      <x:c r="D132" s="230" t="n">
        <x:v>28.160000000000004</x:v>
      </x:c>
      <x:c r="E132" s="230" t="n">
        <x:f>C132-D132</x:f>
        <x:v>0</x:v>
      </x:c>
      <x:c r="F132" s="177" t="str">
        <x:f>IF(ABS(E132)&lt;0.000001,"PASS","偏离发布值")</x:f>
        <x:v>PASS</x:v>
      </x:c>
      <x:c r="G132" s="177" t="str">
        <x:v>ELS透镜＋热沉合计价值的一半</x:v>
      </x:c>
      <x:c r="H132" s="184"/>
    </x:row>
    <x:row r="133">
      <x:c r="A133" s="177" t="str">
        <x:v>CHK-optimistic-HEAT-TAM-2027</x:v>
      </x:c>
      <x:c r="B133" s="177" t="str">
        <x:v>乐观情形热沉空间2027</x:v>
      </x:c>
      <x:c r="C133" s="230" t="n">
        <x:f>'机会模型'!D101</x:f>
        <x:v>7.208960000000001</x:v>
      </x:c>
      <x:c r="D133" s="230" t="n">
        <x:v>7.208960000000001</x:v>
      </x:c>
      <x:c r="E133" s="230" t="n">
        <x:f>C133-D133</x:f>
        <x:v>0</x:v>
      </x:c>
      <x:c r="F133" s="177" t="str">
        <x:f>IF(ABS(E133)&lt;0.000001,"PASS","偏离发布值")</x:f>
        <x:v>PASS</x:v>
      </x:c>
      <x:c r="G133" s="177" t="str">
        <x:v>系统需求×128片×当年热沉单价</x:v>
      </x:c>
      <x:c r="H133" s="184"/>
    </x:row>
    <x:row r="134">
      <x:c r="A134" s="177" t="str">
        <x:v>CHK-optimistic-HEAT-REV-2027</x:v>
      </x:c>
      <x:c r="B134" s="177" t="str">
        <x:v>乐观情形热沉理论收入2027</x:v>
      </x:c>
      <x:c r="C134" s="230" t="n">
        <x:f>'机会模型'!D103</x:f>
        <x:v>3.6044800000000006</x:v>
      </x:c>
      <x:c r="D134" s="230" t="n">
        <x:v>3.6044800000000006</x:v>
      </x:c>
      <x:c r="E134" s="230" t="n">
        <x:f>C134-D134</x:f>
        <x:v>0</x:v>
      </x:c>
      <x:c r="F134" s="177" t="str">
        <x:f>IF(ABS(E134)&lt;0.000001,"PASS","偏离发布值")</x:f>
        <x:v>PASS</x:v>
      </x:c>
      <x:c r="G134" s="177" t="str">
        <x:v>热沉组件空间×公司份额，未重复加总</x:v>
      </x:c>
      <x:c r="H134" s="184"/>
    </x:row>
    <x:row r="135">
      <x:c r="A135" s="177" t="str">
        <x:v>CHK-optimistic-REV-2028</x:v>
      </x:c>
      <x:c r="B135" s="177" t="str">
        <x:v>乐观情形公司收入2028</x:v>
      </x:c>
      <x:c r="C135" s="230" t="n">
        <x:f>'合并预测'!D48</x:f>
        <x:v>126.99416825088004</x:v>
      </x:c>
      <x:c r="D135" s="230" t="n">
        <x:v>126.99416825088002</x:v>
      </x:c>
      <x:c r="E135" s="230" t="n">
        <x:f>C135-D135</x:f>
        <x:v>1.4210854715202004e-14</x:v>
      </x:c>
      <x:c r="F135" s="177" t="str">
        <x:f>IF(ABS(E135)&lt;0.000001,"PASS","偏离发布值")</x:f>
        <x:v>PASS</x:v>
      </x:c>
      <x:c r="G135" s="177" t="str">
        <x:v>非光通信＋逐产品兑现收入</x:v>
      </x:c>
      <x:c r="H135" s="184"/>
    </x:row>
    <x:row r="136">
      <x:c r="A136" s="177" t="str">
        <x:v>CHK-optimistic-NP-2028</x:v>
      </x:c>
      <x:c r="B136" s="177" t="str">
        <x:v>乐观情形归母净利2028</x:v>
      </x:c>
      <x:c r="C136" s="230" t="n">
        <x:f>'合并预测'!K48</x:f>
        <x:v>36.9555351312759</x:v>
      </x:c>
      <x:c r="D136" s="230" t="n">
        <x:v>36.95553513127591</x:v>
      </x:c>
      <x:c r="E136" s="230" t="n">
        <x:f>C136-D136</x:f>
        <x:v>-7.105427357601002e-15</x:v>
      </x:c>
      <x:c r="F136" s="177" t="str">
        <x:f>IF(ABS(E136)&lt;0.000001,"PASS","偏离发布值")</x:f>
        <x:v>PASS</x:v>
      </x:c>
      <x:c r="G136" s="177" t="str">
        <x:v>毛利扣除费用、减值与税项</x:v>
      </x:c>
      <x:c r="H136" s="184"/>
    </x:row>
    <x:row r="137">
      <x:c r="A137" s="177" t="str">
        <x:v>CHK-optimistic-OPP-2028</x:v>
      </x:c>
      <x:c r="B137" s="177" t="str">
        <x:v>乐观情形理论收入2028</x:v>
      </x:c>
      <x:c r="C137" s="230" t="n">
        <x:f>'机会模型'!S12</x:f>
        <x:v>143.27160031360003</x:v>
      </x:c>
      <x:c r="D137" s="230" t="n">
        <x:v>143.2716003136</x:v>
      </x:c>
      <x:c r="E137" s="230" t="n">
        <x:f>C137-D137</x:f>
        <x:v>2.842170943040401e-14</x:v>
      </x:c>
      <x:c r="F137" s="177" t="str">
        <x:f>IF(ABS(E137)&lt;0.000001,"PASS","偏离发布值")</x:f>
        <x:v>PASS</x:v>
      </x:c>
      <x:c r="G137" s="177" t="str">
        <x:v>七条产品线需求×价格×份额</x:v>
      </x:c>
      <x:c r="H137" s="184"/>
    </x:row>
    <x:row r="138">
      <x:c r="A138" s="177" t="str">
        <x:v>CHK-optimistic-HEAT-PRICE-2028</x:v>
      </x:c>
      <x:c r="B138" s="177" t="str">
        <x:v>乐观情形热沉单价2028</x:v>
      </x:c>
      <x:c r="C138" s="230" t="n">
        <x:f>'机会模型'!E100</x:f>
        <x:v>27.878400000000003</x:v>
      </x:c>
      <x:c r="D138" s="230" t="n">
        <x:v>27.8784</x:v>
      </x:c>
      <x:c r="E138" s="230" t="n">
        <x:f>C138-D138</x:f>
        <x:v>3.552713678800501e-15</x:v>
      </x:c>
      <x:c r="F138" s="177" t="str">
        <x:f>IF(ABS(E138)&lt;0.000001,"PASS","偏离发布值")</x:f>
        <x:v>PASS</x:v>
      </x:c>
      <x:c r="G138" s="177" t="str">
        <x:v>ELS透镜＋热沉合计价值的一半</x:v>
      </x:c>
      <x:c r="H138" s="184"/>
    </x:row>
    <x:row r="139">
      <x:c r="A139" s="177" t="str">
        <x:v>CHK-optimistic-HEAT-TAM-2028</x:v>
      </x:c>
      <x:c r="B139" s="177" t="str">
        <x:v>乐观情形热沉空间2028</x:v>
      </x:c>
      <x:c r="C139" s="230" t="n">
        <x:f>'机会模型'!E101</x:f>
        <x:v>17.842176000000002</x:v>
      </x:c>
      <x:c r="D139" s="230" t="n">
        <x:v>17.842176000000002</x:v>
      </x:c>
      <x:c r="E139" s="230" t="n">
        <x:f>C139-D139</x:f>
        <x:v>0</x:v>
      </x:c>
      <x:c r="F139" s="177" t="str">
        <x:f>IF(ABS(E139)&lt;0.000001,"PASS","偏离发布值")</x:f>
        <x:v>PASS</x:v>
      </x:c>
      <x:c r="G139" s="177" t="str">
        <x:v>系统需求×128片×当年热沉单价</x:v>
      </x:c>
      <x:c r="H139" s="184"/>
    </x:row>
    <x:row r="140">
      <x:c r="A140" s="177" t="str">
        <x:v>CHK-optimistic-HEAT-REV-2028</x:v>
      </x:c>
      <x:c r="B140" s="177" t="str">
        <x:v>乐观情形热沉理论收入2028</x:v>
      </x:c>
      <x:c r="C140" s="230" t="n">
        <x:f>'机会模型'!E103</x:f>
        <x:v>8.950824960000002</x:v>
      </x:c>
      <x:c r="D140" s="230" t="n">
        <x:v>8.950824960000002</x:v>
      </x:c>
      <x:c r="E140" s="230" t="n">
        <x:f>C140-D140</x:f>
        <x:v>0</x:v>
      </x:c>
      <x:c r="F140" s="177" t="str">
        <x:f>IF(ABS(E140)&lt;0.000001,"PASS","偏离发布值")</x:f>
        <x:v>PASS</x:v>
      </x:c>
      <x:c r="G140" s="177" t="str">
        <x:v>热沉组件空间×公司份额，未重复加总</x:v>
      </x:c>
      <x:c r="H140" s="184"/>
    </x:row>
    <x:row r="141">
      <x:c r="A141" s="177" t="str">
        <x:v>CHK-optimistic-REV-2029</x:v>
      </x:c>
      <x:c r="B141" s="177" t="str">
        <x:v>乐观情形公司收入2029</x:v>
      </x:c>
      <x:c r="C141" s="230" t="n">
        <x:f>'合并预测'!E48</x:f>
        <x:v>218.24336677409283</x:v>
      </x:c>
      <x:c r="D141" s="230" t="n">
        <x:v>218.24336677409283</x:v>
      </x:c>
      <x:c r="E141" s="230" t="n">
        <x:f>C141-D141</x:f>
        <x:v>0</x:v>
      </x:c>
      <x:c r="F141" s="177" t="str">
        <x:f>IF(ABS(E141)&lt;0.000001,"PASS","偏离发布值")</x:f>
        <x:v>PASS</x:v>
      </x:c>
      <x:c r="G141" s="177" t="str">
        <x:v>非光通信＋逐产品兑现收入</x:v>
      </x:c>
      <x:c r="H141" s="184"/>
    </x:row>
    <x:row r="142">
      <x:c r="A142" s="177" t="str">
        <x:v>CHK-optimistic-NP-2029</x:v>
      </x:c>
      <x:c r="B142" s="177" t="str">
        <x:v>乐观情形归母净利2029</x:v>
      </x:c>
      <x:c r="C142" s="230" t="n">
        <x:f>'合并预测'!L48</x:f>
        <x:v>67.10733970998412</x:v>
      </x:c>
      <x:c r="D142" s="230" t="n">
        <x:v>67.10733970998412</x:v>
      </x:c>
      <x:c r="E142" s="230" t="n">
        <x:f>C142-D142</x:f>
        <x:v>0</x:v>
      </x:c>
      <x:c r="F142" s="177" t="str">
        <x:f>IF(ABS(E142)&lt;0.000001,"PASS","偏离发布值")</x:f>
        <x:v>PASS</x:v>
      </x:c>
      <x:c r="G142" s="177" t="str">
        <x:v>毛利扣除费用、减值与税项</x:v>
      </x:c>
      <x:c r="H142" s="184"/>
    </x:row>
    <x:row r="143">
      <x:c r="A143" s="177" t="str">
        <x:v>CHK-optimistic-OPP-2029</x:v>
      </x:c>
      <x:c r="B143" s="177" t="str">
        <x:v>乐观情形理论收入2029</x:v>
      </x:c>
      <x:c r="C143" s="230" t="n">
        <x:f>'机会模型'!T12</x:f>
        <x:v>255.723335967616</x:v>
      </x:c>
      <x:c r="D143" s="230" t="n">
        <x:v>255.723335967616</x:v>
      </x:c>
      <x:c r="E143" s="230" t="n">
        <x:f>C143-D143</x:f>
        <x:v>0</x:v>
      </x:c>
      <x:c r="F143" s="177" t="str">
        <x:f>IF(ABS(E143)&lt;0.000001,"PASS","偏离发布值")</x:f>
        <x:v>PASS</x:v>
      </x:c>
      <x:c r="G143" s="177" t="str">
        <x:v>七条产品线需求×价格×份额</x:v>
      </x:c>
      <x:c r="H143" s="184"/>
    </x:row>
    <x:row r="144">
      <x:c r="A144" s="177" t="str">
        <x:v>CHK-optimistic-HEAT-PRICE-2029</x:v>
      </x:c>
      <x:c r="B144" s="177" t="str">
        <x:v>乐观情形热沉单价2029</x:v>
      </x:c>
      <x:c r="C144" s="230" t="n">
        <x:f>'机会模型'!F100</x:f>
        <x:v>26.516159999999996</x:v>
      </x:c>
      <x:c r="D144" s="230" t="n">
        <x:v>26.51616</x:v>
      </x:c>
      <x:c r="E144" s="230" t="n">
        <x:f>C144-D144</x:f>
        <x:v>-3.552713678800501e-15</x:v>
      </x:c>
      <x:c r="F144" s="177" t="str">
        <x:f>IF(ABS(E144)&lt;0.000001,"PASS","偏离发布值")</x:f>
        <x:v>PASS</x:v>
      </x:c>
      <x:c r="G144" s="177" t="str">
        <x:v>ELS透镜＋热沉合计价值的一半</x:v>
      </x:c>
      <x:c r="H144" s="184"/>
    </x:row>
    <x:row r="145">
      <x:c r="A145" s="177" t="str">
        <x:v>CHK-optimistic-HEAT-TAM-2029</x:v>
      </x:c>
      <x:c r="B145" s="177" t="str">
        <x:v>乐观情形热沉空间2029</x:v>
      </x:c>
      <x:c r="C145" s="230" t="n">
        <x:f>'机会模型'!F101</x:f>
        <x:v>28.849582079999998</x:v>
      </x:c>
      <x:c r="D145" s="230" t="n">
        <x:v>28.849582080000005</x:v>
      </x:c>
      <x:c r="E145" s="230" t="n">
        <x:f>C145-D145</x:f>
        <x:v>-7.105427357601002e-15</x:v>
      </x:c>
      <x:c r="F145" s="177" t="str">
        <x:f>IF(ABS(E145)&lt;0.000001,"PASS","偏离发布值")</x:f>
        <x:v>PASS</x:v>
      </x:c>
      <x:c r="G145" s="177" t="str">
        <x:v>系统需求×128片×当年热沉单价</x:v>
      </x:c>
      <x:c r="H145" s="184"/>
    </x:row>
    <x:row r="146">
      <x:c r="A146" s="177" t="str">
        <x:v>CHK-optimistic-HEAT-REV-2029</x:v>
      </x:c>
      <x:c r="B146" s="177" t="str">
        <x:v>乐观情形热沉理论收入2029</x:v>
      </x:c>
      <x:c r="C146" s="230" t="n">
        <x:f>'机会模型'!F103</x:f>
        <x:v>14.331727872000002</x:v>
      </x:c>
      <x:c r="D146" s="230" t="n">
        <x:v>14.331727872000004</x:v>
      </x:c>
      <x:c r="E146" s="230" t="n">
        <x:f>C146-D146</x:f>
        <x:v>-1.7763568394002505e-15</x:v>
      </x:c>
      <x:c r="F146" s="177" t="str">
        <x:f>IF(ABS(E146)&lt;0.000001,"PASS","偏离发布值")</x:f>
        <x:v>PASS</x:v>
      </x:c>
      <x:c r="G146" s="177" t="str">
        <x:v>热沉组件空间×公司份额，未重复加总</x:v>
      </x:c>
      <x:c r="H146" s="184"/>
    </x:row>
    <x:row r="147">
      <x:c r="A147" s="177" t="str">
        <x:v>CHK-optimistic-REV-2030</x:v>
      </x:c>
      <x:c r="B147" s="177" t="str">
        <x:v>乐观情形公司收入2030</x:v>
      </x:c>
      <x:c r="C147" s="230" t="n">
        <x:f>'合并预测'!F48</x:f>
        <x:v>302.1503633027251</x:v>
      </x:c>
      <x:c r="D147" s="230" t="n">
        <x:v>302.15036330272517</x:v>
      </x:c>
      <x:c r="E147" s="230" t="n">
        <x:f>C147-D147</x:f>
        <x:v>-5.684341886080802e-14</x:v>
      </x:c>
      <x:c r="F147" s="177" t="str">
        <x:f>IF(ABS(E147)&lt;0.000001,"PASS","偏离发布值")</x:f>
        <x:v>PASS</x:v>
      </x:c>
      <x:c r="G147" s="177" t="str">
        <x:v>非光通信＋逐产品兑现收入</x:v>
      </x:c>
      <x:c r="H147" s="184"/>
    </x:row>
    <x:row r="148">
      <x:c r="A148" s="177" t="str">
        <x:v>CHK-optimistic-NP-2030</x:v>
      </x:c>
      <x:c r="B148" s="177" t="str">
        <x:v>乐观情形归母净利2030</x:v>
      </x:c>
      <x:c r="C148" s="230" t="n">
        <x:f>'合并预测'!M48</x:f>
        <x:v>97.09709091223877</x:v>
      </x:c>
      <x:c r="D148" s="230" t="n">
        <x:v>97.09709091223876</x:v>
      </x:c>
      <x:c r="E148" s="230" t="n">
        <x:f>C148-D148</x:f>
        <x:v>1.4210854715202004e-14</x:v>
      </x:c>
      <x:c r="F148" s="177" t="str">
        <x:f>IF(ABS(E148)&lt;0.000001,"PASS","偏离发布值")</x:f>
        <x:v>PASS</x:v>
      </x:c>
      <x:c r="G148" s="177" t="str">
        <x:v>毛利扣除费用、减值与税项</x:v>
      </x:c>
      <x:c r="H148" s="184"/>
    </x:row>
    <x:row r="149">
      <x:c r="A149" s="177" t="str">
        <x:v>CHK-optimistic-OPP-2030</x:v>
      </x:c>
      <x:c r="B149" s="177" t="str">
        <x:v>乐观情形理论收入2030</x:v>
      </x:c>
      <x:c r="C149" s="230" t="n">
        <x:f>'机会模型'!U12</x:f>
        <x:v>359.4826168184065</x:v>
      </x:c>
      <x:c r="D149" s="230" t="n">
        <x:v>359.4826168184065</x:v>
      </x:c>
      <x:c r="E149" s="230" t="n">
        <x:f>C149-D149</x:f>
        <x:v>0</x:v>
      </x:c>
      <x:c r="F149" s="177" t="str">
        <x:f>IF(ABS(E149)&lt;0.000001,"PASS","偏离发布值")</x:f>
        <x:v>PASS</x:v>
      </x:c>
      <x:c r="G149" s="177" t="str">
        <x:v>七条产品线需求×价格×份额</x:v>
      </x:c>
      <x:c r="H149" s="184"/>
    </x:row>
    <x:row r="150">
      <x:c r="A150" s="177" t="str">
        <x:v>CHK-optimistic-HEAT-PRICE-2030</x:v>
      </x:c>
      <x:c r="B150" s="177" t="str">
        <x:v>乐观情形热沉单价2030</x:v>
      </x:c>
      <x:c r="C150" s="230" t="n">
        <x:f>'机会模型'!G100</x:f>
        <x:v>24.634368</x:v>
      </x:c>
      <x:c r="D150" s="230" t="n">
        <x:v>24.634368000000002</x:v>
      </x:c>
      <x:c r="E150" s="230" t="n">
        <x:f>C150-D150</x:f>
        <x:v>-3.552713678800501e-15</x:v>
      </x:c>
      <x:c r="F150" s="177" t="str">
        <x:f>IF(ABS(E150)&lt;0.000001,"PASS","偏离发布值")</x:f>
        <x:v>PASS</x:v>
      </x:c>
      <x:c r="G150" s="177" t="str">
        <x:v>ELS透镜＋热沉合计价值的一半</x:v>
      </x:c>
      <x:c r="H150" s="184"/>
    </x:row>
    <x:row r="151">
      <x:c r="A151" s="177" t="str">
        <x:v>CHK-optimistic-HEAT-TAM-2030</x:v>
      </x:c>
      <x:c r="B151" s="177" t="str">
        <x:v>乐观情形热沉空间2030</x:v>
      </x:c>
      <x:c r="C151" s="230" t="n">
        <x:f>'机会模型'!G101</x:f>
        <x:v>37.838389248</x:v>
      </x:c>
      <x:c r="D151" s="230" t="n">
        <x:v>37.838389248</x:v>
      </x:c>
      <x:c r="E151" s="230" t="n">
        <x:f>C151-D151</x:f>
        <x:v>0</x:v>
      </x:c>
      <x:c r="F151" s="177" t="str">
        <x:f>IF(ABS(E151)&lt;0.000001,"PASS","偏离发布值")</x:f>
        <x:v>PASS</x:v>
      </x:c>
      <x:c r="G151" s="177" t="str">
        <x:v>系统需求×128片×当年热沉单价</x:v>
      </x:c>
      <x:c r="H151" s="184"/>
    </x:row>
    <x:row r="152">
      <x:c r="A152" s="177" t="str">
        <x:v>CHK-optimistic-HEAT-REV-2030</x:v>
      </x:c>
      <x:c r="B152" s="177" t="str">
        <x:v>乐观情形热沉理论收入2030</x:v>
      </x:c>
      <x:c r="C152" s="230" t="n">
        <x:f>'机会模型'!G103</x:f>
        <x:v>18.38315077632</x:v>
      </x:c>
      <x:c r="D152" s="230" t="n">
        <x:v>18.38315077632</x:v>
      </x:c>
      <x:c r="E152" s="230" t="n">
        <x:f>C152-D152</x:f>
        <x:v>0</x:v>
      </x:c>
      <x:c r="F152" s="177" t="str">
        <x:f>IF(ABS(E152)&lt;0.000001,"PASS","偏离发布值")</x:f>
        <x:v>PASS</x:v>
      </x:c>
      <x:c r="G152" s="177" t="str">
        <x:v>热沉组件空间×公司份额，未重复加总</x:v>
      </x:c>
      <x:c r="H152" s="184"/>
    </x:row>
    <x:row r="153">
      <x:c r="A153" s="177" t="str">
        <x:v>CHK-optimistic-REALIZATION</x:v>
      </x:c>
      <x:c r="B153" s="177" t="str">
        <x:v>乐观情形兑现率下限</x:v>
      </x:c>
      <x:c r="C153" s="230" t="n">
        <x:f>MIN('机会输入'!C57:G63)</x:f>
        <x:v>0</x:v>
      </x:c>
      <x:c r="D153" s="230" t="n">
        <x:v>0</x:v>
      </x:c>
      <x:c r="E153" s="230" t="n">
        <x:f>C153-D153</x:f>
        <x:v>0</x:v>
      </x:c>
      <x:c r="F153" s="177" t="str">
        <x:f>IF(ABS(E153)&lt;0.000001,"PASS","偏离发布值")</x:f>
        <x:v>PASS</x:v>
      </x:c>
      <x:c r="G153" s="177" t="str">
        <x:v>按产品交付阶段设定；设备2026年为0</x:v>
      </x:c>
      <x:c r="H153" s="184"/>
    </x:row>
    <x:row r="154">
      <x:c r="A154" s="177" t="str">
        <x:v>CHK-optimistic-VALUE-25</x:v>
      </x:c>
      <x:c r="B154" s="177" t="str">
        <x:v>乐观情形25x每股价值</x:v>
      </x:c>
      <x:c r="C154" s="230" t="n">
        <x:f>'估值模型'!C7</x:f>
        <x:v>608.6457932164913</x:v>
      </x:c>
      <x:c r="D154" s="230" t="n">
        <x:v>608.6457932164915</x:v>
      </x:c>
      <x:c r="E154" s="230" t="n">
        <x:f>C154-D154</x:f>
        <x:v>-2.2737367544323206e-13</x:v>
      </x:c>
      <x:c r="F154" s="177" t="str">
        <x:f>IF(ABS(E154)&lt;0.000001,"PASS","偏离发布值")</x:f>
        <x:v>PASS</x:v>
      </x:c>
      <x:c r="G154" s="177" t="str">
        <x:v>2028归母净利×PE，经8%折现</x:v>
      </x:c>
      <x:c r="H154" s="184"/>
    </x:row>
    <x:row r="155">
      <x:c r="A155" s="177" t="str">
        <x:v>CHK-optimistic-VALUE-30</x:v>
      </x:c>
      <x:c r="B155" s="177" t="str">
        <x:v>乐观情形30x每股价值</x:v>
      </x:c>
      <x:c r="C155" s="230" t="n">
        <x:f>'估值模型'!D7</x:f>
        <x:v>730.3749518597896</x:v>
      </x:c>
      <x:c r="D155" s="230" t="n">
        <x:v>730.3749518597897</x:v>
      </x:c>
      <x:c r="E155" s="230" t="n">
        <x:f>C155-D155</x:f>
        <x:v>-1.1368683772161603e-13</x:v>
      </x:c>
      <x:c r="F155" s="177" t="str">
        <x:f>IF(ABS(E155)&lt;0.000001,"PASS","偏离发布值")</x:f>
        <x:v>PASS</x:v>
      </x:c>
      <x:c r="G155" s="177" t="str">
        <x:v>2028归母净利×PE，经8%折现</x:v>
      </x:c>
      <x:c r="H155" s="184"/>
    </x:row>
    <x:row r="156">
      <x:c r="A156" s="177" t="str">
        <x:v>CHK-optimistic-VALUE-35</x:v>
      </x:c>
      <x:c r="B156" s="177" t="str">
        <x:v>乐观情形35x每股价值</x:v>
      </x:c>
      <x:c r="C156" s="230" t="n">
        <x:f>'估值模型'!E7</x:f>
        <x:v>852.1041105030879</x:v>
      </x:c>
      <x:c r="D156" s="230" t="n">
        <x:v>852.1041105030881</x:v>
      </x:c>
      <x:c r="E156" s="230" t="n">
        <x:f>C156-D156</x:f>
        <x:v>-2.2737367544323206e-13</x:v>
      </x:c>
      <x:c r="F156" s="177" t="str">
        <x:f>IF(ABS(E156)&lt;0.000001,"PASS","偏离发布值")</x:f>
        <x:v>PASS</x:v>
      </x:c>
      <x:c r="G156" s="177" t="str">
        <x:v>2028归母净利×PE，经8%折现</x:v>
      </x:c>
      <x:c r="H156" s="184"/>
    </x:row>
    <x:row r="157">
      <x:c r="A157" s="177" t="str">
        <x:v>CHK-BASE-GP-2026</x:v>
      </x:c>
      <x:c r="B157" s="177" t="str">
        <x:v>基准毛利润2026</x:v>
      </x:c>
      <x:c r="C157" s="230" t="n">
        <x:f>'合并预测'!B15</x:f>
        <x:v>5.503988639999999</x:v>
      </x:c>
      <x:c r="D157" s="230" t="n">
        <x:v>5.503988639999999</x:v>
      </x:c>
      <x:c r="E157" s="230" t="n">
        <x:f>C157-D157</x:f>
        <x:v>0</x:v>
      </x:c>
      <x:c r="F157" s="177" t="str">
        <x:f>IF(ABS(E157)&lt;0.000001,"PASS","偏离发布值")</x:f>
        <x:v>PASS</x:v>
      </x:c>
      <x:c r="G157" s="177" t="str">
        <x:v>分部收入×各自毛利率</x:v>
      </x:c>
      <x:c r="H157" s="184"/>
    </x:row>
    <x:row r="158">
      <x:c r="A158" s="177" t="str">
        <x:v>CHK-BASE-OPTICAL-2026</x:v>
      </x:c>
      <x:c r="B158" s="177" t="str">
        <x:v>基准光通信兑现收入2026</x:v>
      </x:c>
      <x:c r="C158" s="230" t="n">
        <x:f>'合并预测'!L43</x:f>
        <x:v>3.8854143999999997</x:v>
      </x:c>
      <x:c r="D158" s="230" t="n">
        <x:v>3.8854143999999997</x:v>
      </x:c>
      <x:c r="E158" s="230" t="n">
        <x:f>C158-D158</x:f>
        <x:v>0</x:v>
      </x:c>
      <x:c r="F158" s="177" t="str">
        <x:f>IF(ABS(E158)&lt;0.000001,"PASS","偏离发布值")</x:f>
        <x:v>PASS</x:v>
      </x:c>
      <x:c r="G158" s="177" t="str">
        <x:v>七条产品线兑现收入合计</x:v>
      </x:c>
      <x:c r="H158" s="184"/>
    </x:row>
    <x:row r="159">
      <x:c r="A159" s="177" t="str">
        <x:v>CHK-BASE-GP-2027</x:v>
      </x:c>
      <x:c r="B159" s="177" t="str">
        <x:v>基准毛利润2027</x:v>
      </x:c>
      <x:c r="C159" s="230" t="n">
        <x:f>'合并预测'!C15</x:f>
        <x:v>22.32173216</x:v>
      </x:c>
      <x:c r="D159" s="230" t="n">
        <x:v>22.32173216</x:v>
      </x:c>
      <x:c r="E159" s="230" t="n">
        <x:f>C159-D159</x:f>
        <x:v>0</x:v>
      </x:c>
      <x:c r="F159" s="177" t="str">
        <x:f>IF(ABS(E159)&lt;0.000001,"PASS","偏离发布值")</x:f>
        <x:v>PASS</x:v>
      </x:c>
      <x:c r="G159" s="177" t="str">
        <x:v>分部收入×各自毛利率</x:v>
      </x:c>
      <x:c r="H159" s="184"/>
    </x:row>
    <x:row r="160">
      <x:c r="A160" s="177" t="str">
        <x:v>CHK-BASE-OPTICAL-2027</x:v>
      </x:c>
      <x:c r="B160" s="177" t="str">
        <x:v>基准光通信兑现收入2027</x:v>
      </x:c>
      <x:c r="C160" s="230" t="n">
        <x:f>'合并预测'!M43</x:f>
        <x:v>30.677453600000003</x:v>
      </x:c>
      <x:c r="D160" s="230" t="n">
        <x:v>30.677453600000003</x:v>
      </x:c>
      <x:c r="E160" s="230" t="n">
        <x:f>C160-D160</x:f>
        <x:v>0</x:v>
      </x:c>
      <x:c r="F160" s="177" t="str">
        <x:f>IF(ABS(E160)&lt;0.000001,"PASS","偏离发布值")</x:f>
        <x:v>PASS</x:v>
      </x:c>
      <x:c r="G160" s="177" t="str">
        <x:v>七条产品线兑现收入合计</x:v>
      </x:c>
      <x:c r="H160" s="184"/>
    </x:row>
    <x:row r="161">
      <x:c r="A161" s="177" t="str">
        <x:v>CHK-BASE-GP-2028</x:v>
      </x:c>
      <x:c r="B161" s="177" t="str">
        <x:v>基准毛利润2028</x:v>
      </x:c>
      <x:c r="C161" s="230" t="n">
        <x:f>'合并预测'!D15</x:f>
        <x:v>62.2895589128</x:v>
      </x:c>
      <x:c r="D161" s="230" t="n">
        <x:v>62.289558912800004</x:v>
      </x:c>
      <x:c r="E161" s="230" t="n">
        <x:f>C161-D161</x:f>
        <x:v>-7.105427357601002e-15</x:v>
      </x:c>
      <x:c r="F161" s="177" t="str">
        <x:f>IF(ABS(E161)&lt;0.000001,"PASS","偏离发布值")</x:f>
        <x:v>PASS</x:v>
      </x:c>
      <x:c r="G161" s="177" t="str">
        <x:v>分部收入×各自毛利率</x:v>
      </x:c>
      <x:c r="H161" s="184"/>
    </x:row>
    <x:row r="162">
      <x:c r="A162" s="177" t="str">
        <x:v>CHK-BASE-OPTICAL-2028</x:v>
      </x:c>
      <x:c r="B162" s="177" t="str">
        <x:v>基准光通信兑现收入2028</x:v>
      </x:c>
      <x:c r="C162" s="230" t="n">
        <x:f>'合并预测'!N43</x:f>
        <x:v>95.44089068800001</x:v>
      </x:c>
      <x:c r="D162" s="230" t="n">
        <x:v>95.44089068800001</x:v>
      </x:c>
      <x:c r="E162" s="230" t="n">
        <x:f>C162-D162</x:f>
        <x:v>0</x:v>
      </x:c>
      <x:c r="F162" s="177" t="str">
        <x:f>IF(ABS(E162)&lt;0.000001,"PASS","偏离发布值")</x:f>
        <x:v>PASS</x:v>
      </x:c>
      <x:c r="G162" s="177" t="str">
        <x:v>七条产品线兑现收入合计</x:v>
      </x:c>
      <x:c r="H162" s="184"/>
    </x:row>
    <x:row r="163">
      <x:c r="A163" s="177" t="str">
        <x:v>CHK-BASE-GP-2029</x:v>
      </x:c>
      <x:c r="B163" s="177" t="str">
        <x:v>基准毛利润2029</x:v>
      </x:c>
      <x:c r="C163" s="230" t="n">
        <x:f>'合并预测'!E15</x:f>
        <x:v>108.24532754068804</x:v>
      </x:c>
      <x:c r="D163" s="230" t="n">
        <x:v>108.24532754068802</x:v>
      </x:c>
      <x:c r="E163" s="230" t="n">
        <x:f>C163-D163</x:f>
        <x:v>1.4210854715202004e-14</x:v>
      </x:c>
      <x:c r="F163" s="177" t="str">
        <x:f>IF(ABS(E163)&lt;0.000001,"PASS","偏离发布值")</x:f>
        <x:v>PASS</x:v>
      </x:c>
      <x:c r="G163" s="177" t="str">
        <x:v>分部收入×各自毛利率</x:v>
      </x:c>
      <x:c r="H163" s="184"/>
    </x:row>
    <x:row r="164">
      <x:c r="A164" s="177" t="str">
        <x:v>CHK-BASE-OPTICAL-2029</x:v>
      </x:c>
      <x:c r="B164" s="177" t="str">
        <x:v>基准光通信兑现收入2029</x:v>
      </x:c>
      <x:c r="C164" s="230" t="n">
        <x:f>'合并预测'!O43</x:f>
        <x:v>170.81879448448004</x:v>
      </x:c>
      <x:c r="D164" s="230" t="n">
        <x:v>170.81879448448004</x:v>
      </x:c>
      <x:c r="E164" s="230" t="n">
        <x:f>C164-D164</x:f>
        <x:v>0</x:v>
      </x:c>
      <x:c r="F164" s="177" t="str">
        <x:f>IF(ABS(E164)&lt;0.000001,"PASS","偏离发布值")</x:f>
        <x:v>PASS</x:v>
      </x:c>
      <x:c r="G164" s="177" t="str">
        <x:v>七条产品线兑现收入合计</x:v>
      </x:c>
      <x:c r="H164" s="184"/>
    </x:row>
    <x:row r="165">
      <x:c r="A165" s="177" t="str">
        <x:v>CHK-BASE-GP-2030</x:v>
      </x:c>
      <x:c r="B165" s="177" t="str">
        <x:v>基准毛利润2030</x:v>
      </x:c>
      <x:c r="C165" s="230" t="n">
        <x:f>'合并预测'!F15</x:f>
        <x:v>150.56292397685118</x:v>
      </x:c>
      <x:c r="D165" s="230" t="n">
        <x:v>150.5629239768512</x:v>
      </x:c>
      <x:c r="E165" s="230" t="n">
        <x:f>C165-D165</x:f>
        <x:v>-2.842170943040401e-14</x:v>
      </x:c>
      <x:c r="F165" s="177" t="str">
        <x:f>IF(ABS(E165)&lt;0.000001,"PASS","偏离发布值")</x:f>
        <x:v>PASS</x:v>
      </x:c>
      <x:c r="G165" s="177" t="str">
        <x:v>分部收入×各自毛利率</x:v>
      </x:c>
      <x:c r="H165" s="184"/>
    </x:row>
    <x:row r="166">
      <x:c r="A166" s="177" t="str">
        <x:v>CHK-BASE-OPTICAL-2030</x:v>
      </x:c>
      <x:c r="B166" s="177" t="str">
        <x:v>基准光通信兑现收入2030</x:v>
      </x:c>
      <x:c r="C166" s="230" t="n">
        <x:f>'合并预测'!P43</x:f>
        <x:v>240.20187159475202</x:v>
      </x:c>
      <x:c r="D166" s="230" t="n">
        <x:v>240.20187159475202</x:v>
      </x:c>
      <x:c r="E166" s="230" t="n">
        <x:f>C166-D166</x:f>
        <x:v>0</x:v>
      </x:c>
      <x:c r="F166" s="177" t="str">
        <x:f>IF(ABS(E166)&lt;0.000001,"PASS","偏离发布值")</x:f>
        <x:v>PASS</x:v>
      </x:c>
      <x:c r="G166" s="177" t="str">
        <x:v>七条产品线兑现收入合计</x:v>
      </x:c>
      <x:c r="H166" s="184"/>
    </x:row>
    <x:row r="167">
      <x:c r="A167" s="177" t="str">
        <x:v>R9-RD-688167-2023A-D</x:v>
      </x:c>
      <x:c r="B167" s="177" t="str">
        <x:v>炬光科技2023A营业收入</x:v>
      </x:c>
      <x:c r="C167" s="230" t="n">
        <x:f>'研发与资产'!D42</x:f>
        <x:v>5.6117313774</x:v>
      </x:c>
      <x:c r="D167" s="230" t="n">
        <x:v>5.6117313774</x:v>
      </x:c>
      <x:c r="E167" s="230" t="n">
        <x:f>C167-D167</x:f>
        <x:v>0</x:v>
      </x:c>
      <x:c r="F167" s="177" t="str">
        <x:f>IF(ABS(E167)&lt;0.000001,"PASS","偏离发布值")</x:f>
        <x:v>PASS</x:v>
      </x:c>
      <x:c r="G167" s="177" t="str">
        <x:v>jg2024；财报原值，亿元/比例</x:v>
      </x:c>
      <x:c r="H167" s="184"/>
    </x:row>
    <x:row r="168">
      <x:c r="A168" s="177" t="str">
        <x:v>R9-RD-688167-2023A-F</x:v>
      </x:c>
      <x:c r="B168" s="177" t="str">
        <x:v>炬光科技2023A研发费用</x:v>
      </x:c>
      <x:c r="C168" s="230" t="n">
        <x:f>'研发与资产'!F42</x:f>
        <x:v>0.7860051406</x:v>
      </x:c>
      <x:c r="D168" s="230" t="n">
        <x:v>0.7860051406</x:v>
      </x:c>
      <x:c r="E168" s="230" t="n">
        <x:f>C168-D168</x:f>
        <x:v>0</x:v>
      </x:c>
      <x:c r="F168" s="177" t="str">
        <x:f>IF(ABS(E168)&lt;0.000001,"PASS","偏离发布值")</x:f>
        <x:v>PASS</x:v>
      </x:c>
      <x:c r="G168" s="177" t="str">
        <x:v>jg2024；财报原值，亿元/比例</x:v>
      </x:c>
      <x:c r="H168" s="184"/>
    </x:row>
    <x:row r="169">
      <x:c r="A169" s="177" t="str">
        <x:v>R9-RD-688167-2023A-H</x:v>
      </x:c>
      <x:c r="B169" s="177" t="str">
        <x:v>炬光科技2023A研发费用率</x:v>
      </x:c>
      <x:c r="C169" s="230" t="n">
        <x:f>'研发与资产'!H42</x:f>
        <x:v>0.14006464097078147</x:v>
      </x:c>
      <x:c r="D169" s="230" t="n">
        <x:v>0.14006464097078147</x:v>
      </x:c>
      <x:c r="E169" s="230" t="n">
        <x:f>C169-D169</x:f>
        <x:v>0</x:v>
      </x:c>
      <x:c r="F169" s="177" t="str">
        <x:f>IF(ABS(E169)&lt;0.000001,"PASS","偏离发布值")</x:f>
        <x:v>PASS</x:v>
      </x:c>
      <x:c r="G169" s="177" t="str">
        <x:v>jg2024；财报原值，亿元/比例</x:v>
      </x:c>
      <x:c r="H169" s="184"/>
    </x:row>
    <x:row r="170">
      <x:c r="A170" s="177" t="str">
        <x:v>R9-RD-688167-2024A-D</x:v>
      </x:c>
      <x:c r="B170" s="177" t="str">
        <x:v>炬光科技2024A营业收入</x:v>
      </x:c>
      <x:c r="C170" s="230" t="n">
        <x:f>'研发与资产'!D43</x:f>
        <x:v>6.200194005399999</x:v>
      </x:c>
      <x:c r="D170" s="230" t="n">
        <x:v>6.200194005399999</x:v>
      </x:c>
      <x:c r="E170" s="230" t="n">
        <x:f>C170-D170</x:f>
        <x:v>0</x:v>
      </x:c>
      <x:c r="F170" s="177" t="str">
        <x:f>IF(ABS(E170)&lt;0.000001,"PASS","偏离发布值")</x:f>
        <x:v>PASS</x:v>
      </x:c>
      <x:c r="G170" s="177" t="str">
        <x:v>jg2025；财报原值，亿元/比例</x:v>
      </x:c>
      <x:c r="H170" s="184"/>
    </x:row>
    <x:row r="171">
      <x:c r="A171" s="177" t="str">
        <x:v>R9-RD-688167-2024A-F</x:v>
      </x:c>
      <x:c r="B171" s="177" t="str">
        <x:v>炬光科技2024A研发费用</x:v>
      </x:c>
      <x:c r="C171" s="230" t="n">
        <x:f>'研发与资产'!F43</x:f>
        <x:v>0.9507855381</x:v>
      </x:c>
      <x:c r="D171" s="230" t="n">
        <x:v>0.9507855381</x:v>
      </x:c>
      <x:c r="E171" s="230" t="n">
        <x:f>C171-D171</x:f>
        <x:v>0</x:v>
      </x:c>
      <x:c r="F171" s="177" t="str">
        <x:f>IF(ABS(E171)&lt;0.000001,"PASS","偏离发布值")</x:f>
        <x:v>PASS</x:v>
      </x:c>
      <x:c r="G171" s="177" t="str">
        <x:v>jg2025；财报原值，亿元/比例</x:v>
      </x:c>
      <x:c r="H171" s="184"/>
    </x:row>
    <x:row r="172">
      <x:c r="A172" s="177" t="str">
        <x:v>R9-RD-688167-2024A-H</x:v>
      </x:c>
      <x:c r="B172" s="177" t="str">
        <x:v>炬光科技2024A研发费用率</x:v>
      </x:c>
      <x:c r="C172" s="230" t="n">
        <x:f>'研发与资产'!H43</x:f>
        <x:v>0.1533477077123591</x:v>
      </x:c>
      <x:c r="D172" s="230" t="n">
        <x:v>0.1533477077123591</x:v>
      </x:c>
      <x:c r="E172" s="230" t="n">
        <x:f>C172-D172</x:f>
        <x:v>0</x:v>
      </x:c>
      <x:c r="F172" s="177" t="str">
        <x:f>IF(ABS(E172)&lt;0.000001,"PASS","偏离发布值")</x:f>
        <x:v>PASS</x:v>
      </x:c>
      <x:c r="G172" s="177" t="str">
        <x:v>jg2025；财报原值，亿元/比例</x:v>
      </x:c>
      <x:c r="H172" s="184"/>
    </x:row>
    <x:row r="173">
      <x:c r="A173" s="177" t="str">
        <x:v>R9-RD-688167-2025A-D</x:v>
      </x:c>
      <x:c r="B173" s="177" t="str">
        <x:v>炬光科技2025A营业收入</x:v>
      </x:c>
      <x:c r="C173" s="230" t="n">
        <x:f>'研发与资产'!D44</x:f>
        <x:v>8.7999932916</x:v>
      </x:c>
      <x:c r="D173" s="230" t="n">
        <x:v>8.7999932916</x:v>
      </x:c>
      <x:c r="E173" s="230" t="n">
        <x:f>C173-D173</x:f>
        <x:v>0</x:v>
      </x:c>
      <x:c r="F173" s="177" t="str">
        <x:f>IF(ABS(E173)&lt;0.000001,"PASS","偏离发布值")</x:f>
        <x:v>PASS</x:v>
      </x:c>
      <x:c r="G173" s="177" t="str">
        <x:v>jg2025；财报原值，亿元/比例</x:v>
      </x:c>
      <x:c r="H173" s="184"/>
    </x:row>
    <x:row r="174">
      <x:c r="A174" s="177" t="str">
        <x:v>R9-RD-688167-2025A-F</x:v>
      </x:c>
      <x:c r="B174" s="177" t="str">
        <x:v>炬光科技2025A研发费用</x:v>
      </x:c>
      <x:c r="C174" s="230" t="n">
        <x:f>'研发与资产'!F44</x:f>
        <x:v>1.7122609469999999</x:v>
      </x:c>
      <x:c r="D174" s="230" t="n">
        <x:v>1.7122609469999999</x:v>
      </x:c>
      <x:c r="E174" s="230" t="n">
        <x:f>C174-D174</x:f>
        <x:v>0</x:v>
      </x:c>
      <x:c r="F174" s="177" t="str">
        <x:f>IF(ABS(E174)&lt;0.000001,"PASS","偏离发布值")</x:f>
        <x:v>PASS</x:v>
      </x:c>
      <x:c r="G174" s="177" t="str">
        <x:v>jg2025；财报原值，亿元/比例</x:v>
      </x:c>
      <x:c r="H174" s="184"/>
    </x:row>
    <x:row r="175">
      <x:c r="A175" s="177" t="str">
        <x:v>R9-RD-688167-2025A-H</x:v>
      </x:c>
      <x:c r="B175" s="177" t="str">
        <x:v>炬光科技2025A研发费用率</x:v>
      </x:c>
      <x:c r="C175" s="230" t="n">
        <x:f>'研发与资产'!H44</x:f>
        <x:v>0.19457525594189168</x:v>
      </x:c>
      <x:c r="D175" s="230" t="n">
        <x:v>0.1945752559418917</x:v>
      </x:c>
      <x:c r="E175" s="230" t="n">
        <x:f>C175-D175</x:f>
        <x:v>-2.7755575615628914e-17</x:v>
      </x:c>
      <x:c r="F175" s="177" t="str">
        <x:f>IF(ABS(E175)&lt;0.000001,"PASS","偏离发布值")</x:f>
        <x:v>PASS</x:v>
      </x:c>
      <x:c r="G175" s="177" t="str">
        <x:v>jg2025；财报原值，亿元/比例</x:v>
      </x:c>
      <x:c r="H175" s="184"/>
    </x:row>
    <x:row r="176">
      <x:c r="A176" s="177" t="str">
        <x:v>R9-RD-688167-2025H1-D</x:v>
      </x:c>
      <x:c r="B176" s="177" t="str">
        <x:v>炬光科技2025H1营业收入</x:v>
      </x:c>
      <x:c r="C176" s="230" t="n">
        <x:f>'研发与资产'!D45</x:f>
        <x:v>3.9276607302999995</x:v>
      </x:c>
      <x:c r="D176" s="230" t="n">
        <x:v>3.9276607302999995</x:v>
      </x:c>
      <x:c r="E176" s="230" t="n">
        <x:f>C176-D176</x:f>
        <x:v>0</x:v>
      </x:c>
      <x:c r="F176" s="177" t="str">
        <x:f>IF(ABS(E176)&lt;0.000001,"PASS","偏离发布值")</x:f>
        <x:v>PASS</x:v>
      </x:c>
      <x:c r="G176" s="177" t="str">
        <x:v>jg2026h1；财报原值，亿元/比例</x:v>
      </x:c>
      <x:c r="H176" s="184"/>
    </x:row>
    <x:row r="177">
      <x:c r="A177" s="177" t="str">
        <x:v>R9-RD-688167-2025H1-F</x:v>
      </x:c>
      <x:c r="B177" s="177" t="str">
        <x:v>炬光科技2025H1研发费用</x:v>
      </x:c>
      <x:c r="C177" s="230" t="n">
        <x:f>'研发与资产'!F45</x:f>
        <x:v>0.9391072865000001</x:v>
      </x:c>
      <x:c r="D177" s="230" t="n">
        <x:v>0.9391072865000001</x:v>
      </x:c>
      <x:c r="E177" s="230" t="n">
        <x:f>C177-D177</x:f>
        <x:v>0</x:v>
      </x:c>
      <x:c r="F177" s="177" t="str">
        <x:f>IF(ABS(E177)&lt;0.000001,"PASS","偏离发布值")</x:f>
        <x:v>PASS</x:v>
      </x:c>
      <x:c r="G177" s="177" t="str">
        <x:v>jg2026h1；财报原值，亿元/比例</x:v>
      </x:c>
      <x:c r="H177" s="184"/>
    </x:row>
    <x:row r="178">
      <x:c r="A178" s="177" t="str">
        <x:v>R9-RD-688167-2025H1-H</x:v>
      </x:c>
      <x:c r="B178" s="177" t="str">
        <x:v>炬光科技2025H1研发费用率</x:v>
      </x:c>
      <x:c r="C178" s="230" t="n">
        <x:f>'研发与资产'!H45</x:f>
        <x:v>0.23910091807452777</x:v>
      </x:c>
      <x:c r="D178" s="230" t="n">
        <x:v>0.23910091807452774</x:v>
      </x:c>
      <x:c r="E178" s="230" t="n">
        <x:f>C178-D178</x:f>
        <x:v>2.7755575615628914e-17</x:v>
      </x:c>
      <x:c r="F178" s="177" t="str">
        <x:f>IF(ABS(E178)&lt;0.000001,"PASS","偏离发布值")</x:f>
        <x:v>PASS</x:v>
      </x:c>
      <x:c r="G178" s="177" t="str">
        <x:v>jg2026h1；财报原值，亿元/比例</x:v>
      </x:c>
      <x:c r="H178" s="184"/>
    </x:row>
    <x:row r="179">
      <x:c r="A179" s="177" t="str">
        <x:v>R9-RD-688167-2026H1-D</x:v>
      </x:c>
      <x:c r="B179" s="177" t="str">
        <x:v>炬光科技2026H1营业收入</x:v>
      </x:c>
      <x:c r="C179" s="230" t="n">
        <x:f>'研发与资产'!D46</x:f>
        <x:v>4.1856510076</x:v>
      </x:c>
      <x:c r="D179" s="230" t="n">
        <x:v>4.1856510076</x:v>
      </x:c>
      <x:c r="E179" s="230" t="n">
        <x:f>C179-D179</x:f>
        <x:v>0</x:v>
      </x:c>
      <x:c r="F179" s="177" t="str">
        <x:f>IF(ABS(E179)&lt;0.000001,"PASS","偏离发布值")</x:f>
        <x:v>PASS</x:v>
      </x:c>
      <x:c r="G179" s="177" t="str">
        <x:v>jg2026h1；财报原值，亿元/比例</x:v>
      </x:c>
      <x:c r="H179" s="184"/>
    </x:row>
    <x:row r="180">
      <x:c r="A180" s="177" t="str">
        <x:v>R9-RD-688167-2026H1-F</x:v>
      </x:c>
      <x:c r="B180" s="177" t="str">
        <x:v>炬光科技2026H1研发费用</x:v>
      </x:c>
      <x:c r="C180" s="230" t="n">
        <x:f>'研发与资产'!F46</x:f>
        <x:v>0.8908166665</x:v>
      </x:c>
      <x:c r="D180" s="230" t="n">
        <x:v>0.8908166665</x:v>
      </x:c>
      <x:c r="E180" s="230" t="n">
        <x:f>C180-D180</x:f>
        <x:v>0</x:v>
      </x:c>
      <x:c r="F180" s="177" t="str">
        <x:f>IF(ABS(E180)&lt;0.000001,"PASS","偏离发布值")</x:f>
        <x:v>PASS</x:v>
      </x:c>
      <x:c r="G180" s="177" t="str">
        <x:v>jg2026h1；财报原值，亿元/比例</x:v>
      </x:c>
      <x:c r="H180" s="184"/>
    </x:row>
    <x:row r="181">
      <x:c r="A181" s="177" t="str">
        <x:v>R9-RD-688167-2026H1-H</x:v>
      </x:c>
      <x:c r="B181" s="177" t="str">
        <x:v>炬光科技2026H1研发费用率</x:v>
      </x:c>
      <x:c r="C181" s="230" t="n">
        <x:f>'研发与资产'!H46</x:f>
        <x:v>0.2128263118168524</x:v>
      </x:c>
      <x:c r="D181" s="230" t="n">
        <x:v>0.2128263118168524</x:v>
      </x:c>
      <x:c r="E181" s="230" t="n">
        <x:f>C181-D181</x:f>
        <x:v>0</x:v>
      </x:c>
      <x:c r="F181" s="177" t="str">
        <x:f>IF(ABS(E181)&lt;0.000001,"PASS","偏离发布值")</x:f>
        <x:v>PASS</x:v>
      </x:c>
      <x:c r="G181" s="177" t="str">
        <x:v>jg2026h1；财报原值，亿元/比例</x:v>
      </x:c>
      <x:c r="H181" s="184"/>
    </x:row>
    <x:row r="182">
      <x:c r="A182" s="177" t="str">
        <x:v>R9-RD-688195-2023A-D</x:v>
      </x:c>
      <x:c r="B182" s="177" t="str">
        <x:v>腾景科技2023A营业收入</x:v>
      </x:c>
      <x:c r="C182" s="230" t="n">
        <x:f>'研发与资产'!D47</x:f>
        <x:v>3.3991140729000002</x:v>
      </x:c>
      <x:c r="D182" s="230" t="n">
        <x:v>3.3991140729000002</x:v>
      </x:c>
      <x:c r="E182" s="230" t="n">
        <x:f>C182-D182</x:f>
        <x:v>0</x:v>
      </x:c>
      <x:c r="F182" s="177" t="str">
        <x:f>IF(ABS(E182)&lt;0.000001,"PASS","偏离发布值")</x:f>
        <x:v>PASS</x:v>
      </x:c>
      <x:c r="G182" s="177" t="str">
        <x:v>tj2024；财报原值，亿元/比例</x:v>
      </x:c>
      <x:c r="H182" s="184"/>
    </x:row>
    <x:row r="183">
      <x:c r="A183" s="177" t="str">
        <x:v>R9-RD-688195-2023A-F</x:v>
      </x:c>
      <x:c r="B183" s="177" t="str">
        <x:v>腾景科技2023A研发费用</x:v>
      </x:c>
      <x:c r="C183" s="230" t="n">
        <x:f>'研发与资产'!F47</x:f>
        <x:v>0.34150129</x:v>
      </x:c>
      <x:c r="D183" s="230" t="n">
        <x:v>0.34150129</x:v>
      </x:c>
      <x:c r="E183" s="230" t="n">
        <x:f>C183-D183</x:f>
        <x:v>0</x:v>
      </x:c>
      <x:c r="F183" s="177" t="str">
        <x:f>IF(ABS(E183)&lt;0.000001,"PASS","偏离发布值")</x:f>
        <x:v>PASS</x:v>
      </x:c>
      <x:c r="G183" s="177" t="str">
        <x:v>tj2024；财报原值，亿元/比例</x:v>
      </x:c>
      <x:c r="H183" s="184"/>
    </x:row>
    <x:row r="184">
      <x:c r="A184" s="177" t="str">
        <x:v>R9-RD-688195-2023A-H</x:v>
      </x:c>
      <x:c r="B184" s="177" t="str">
        <x:v>腾景科技2023A研发费用率</x:v>
      </x:c>
      <x:c r="C184" s="230" t="n">
        <x:f>'研发与资产'!H47</x:f>
        <x:v>0.10046773443782767</x:v>
      </x:c>
      <x:c r="D184" s="230" t="n">
        <x:v>0.10046773443782767</x:v>
      </x:c>
      <x:c r="E184" s="230" t="n">
        <x:f>C184-D184</x:f>
        <x:v>0</x:v>
      </x:c>
      <x:c r="F184" s="177" t="str">
        <x:f>IF(ABS(E184)&lt;0.000001,"PASS","偏离发布值")</x:f>
        <x:v>PASS</x:v>
      </x:c>
      <x:c r="G184" s="177" t="str">
        <x:v>tj2024；财报原值，亿元/比例</x:v>
      </x:c>
      <x:c r="H184" s="184"/>
    </x:row>
    <x:row r="185">
      <x:c r="A185" s="177" t="str">
        <x:v>R9-RD-688195-2024A-D</x:v>
      </x:c>
      <x:c r="B185" s="177" t="str">
        <x:v>腾景科技2024A营业收入</x:v>
      </x:c>
      <x:c r="C185" s="230" t="n">
        <x:f>'研发与资产'!D48</x:f>
        <x:v>4.4514067964</x:v>
      </x:c>
      <x:c r="D185" s="230" t="n">
        <x:v>4.4514067964</x:v>
      </x:c>
      <x:c r="E185" s="230" t="n">
        <x:f>C185-D185</x:f>
        <x:v>0</x:v>
      </x:c>
      <x:c r="F185" s="177" t="str">
        <x:f>IF(ABS(E185)&lt;0.000001,"PASS","偏离发布值")</x:f>
        <x:v>PASS</x:v>
      </x:c>
      <x:c r="G185" s="177" t="str">
        <x:v>tj2025；财报原值，亿元/比例</x:v>
      </x:c>
      <x:c r="H185" s="184"/>
    </x:row>
    <x:row r="186">
      <x:c r="A186" s="177" t="str">
        <x:v>R9-RD-688195-2024A-F</x:v>
      </x:c>
      <x:c r="B186" s="177" t="str">
        <x:v>腾景科技2024A研发费用</x:v>
      </x:c>
      <x:c r="C186" s="230" t="n">
        <x:f>'研发与资产'!F48</x:f>
        <x:v>0.4722379437</x:v>
      </x:c>
      <x:c r="D186" s="230" t="n">
        <x:v>0.4722379437</x:v>
      </x:c>
      <x:c r="E186" s="230" t="n">
        <x:f>C186-D186</x:f>
        <x:v>0</x:v>
      </x:c>
      <x:c r="F186" s="177" t="str">
        <x:f>IF(ABS(E186)&lt;0.000001,"PASS","偏离发布值")</x:f>
        <x:v>PASS</x:v>
      </x:c>
      <x:c r="G186" s="177" t="str">
        <x:v>tj2025；财报原值，亿元/比例</x:v>
      </x:c>
      <x:c r="H186" s="184"/>
    </x:row>
    <x:row r="187">
      <x:c r="A187" s="177" t="str">
        <x:v>R9-RD-688195-2024A-H</x:v>
      </x:c>
      <x:c r="B187" s="177" t="str">
        <x:v>腾景科技2024A研发费用率</x:v>
      </x:c>
      <x:c r="C187" s="230" t="n">
        <x:f>'研发与资产'!H48</x:f>
        <x:v>0.1060873484045346</x:v>
      </x:c>
      <x:c r="D187" s="230" t="n">
        <x:v>0.1060873484045346</x:v>
      </x:c>
      <x:c r="E187" s="230" t="n">
        <x:f>C187-D187</x:f>
        <x:v>0</x:v>
      </x:c>
      <x:c r="F187" s="177" t="str">
        <x:f>IF(ABS(E187)&lt;0.000001,"PASS","偏离发布值")</x:f>
        <x:v>PASS</x:v>
      </x:c>
      <x:c r="G187" s="177" t="str">
        <x:v>tj2025；财报原值，亿元/比例</x:v>
      </x:c>
      <x:c r="H187" s="184"/>
    </x:row>
    <x:row r="188">
      <x:c r="A188" s="177" t="str">
        <x:v>R9-RD-688195-2025A-D</x:v>
      </x:c>
      <x:c r="B188" s="177" t="str">
        <x:v>腾景科技2025A营业收入</x:v>
      </x:c>
      <x:c r="C188" s="230" t="n">
        <x:f>'研发与资产'!D49</x:f>
        <x:v>5.8554313112</x:v>
      </x:c>
      <x:c r="D188" s="230" t="n">
        <x:v>5.8554313112</x:v>
      </x:c>
      <x:c r="E188" s="230" t="n">
        <x:f>C188-D188</x:f>
        <x:v>0</x:v>
      </x:c>
      <x:c r="F188" s="177" t="str">
        <x:f>IF(ABS(E188)&lt;0.000001,"PASS","偏离发布值")</x:f>
        <x:v>PASS</x:v>
      </x:c>
      <x:c r="G188" s="177" t="str">
        <x:v>tj2025；财报原值，亿元/比例</x:v>
      </x:c>
      <x:c r="H188" s="184"/>
    </x:row>
    <x:row r="189">
      <x:c r="A189" s="177" t="str">
        <x:v>R9-RD-688195-2025A-F</x:v>
      </x:c>
      <x:c r="B189" s="177" t="str">
        <x:v>腾景科技2025A研发费用</x:v>
      </x:c>
      <x:c r="C189" s="230" t="n">
        <x:f>'研发与资产'!F49</x:f>
        <x:v>0.6950420818999999</x:v>
      </x:c>
      <x:c r="D189" s="230" t="n">
        <x:v>0.6950420818999999</x:v>
      </x:c>
      <x:c r="E189" s="230" t="n">
        <x:f>C189-D189</x:f>
        <x:v>0</x:v>
      </x:c>
      <x:c r="F189" s="177" t="str">
        <x:f>IF(ABS(E189)&lt;0.000001,"PASS","偏离发布值")</x:f>
        <x:v>PASS</x:v>
      </x:c>
      <x:c r="G189" s="177" t="str">
        <x:v>tj2025；财报原值，亿元/比例</x:v>
      </x:c>
      <x:c r="H189" s="184"/>
    </x:row>
    <x:row r="190">
      <x:c r="A190" s="177" t="str">
        <x:v>R9-RD-688195-2025A-H</x:v>
      </x:c>
      <x:c r="B190" s="177" t="str">
        <x:v>腾景科技2025A研发费用率</x:v>
      </x:c>
      <x:c r="C190" s="230" t="n">
        <x:f>'研发与资产'!H49</x:f>
        <x:v>0.11870040735864416</x:v>
      </x:c>
      <x:c r="D190" s="230" t="n">
        <x:v>0.11870040735864418</x:v>
      </x:c>
      <x:c r="E190" s="230" t="n">
        <x:f>C190-D190</x:f>
        <x:v>-1.3877787807814457e-17</x:v>
      </x:c>
      <x:c r="F190" s="177" t="str">
        <x:f>IF(ABS(E190)&lt;0.000001,"PASS","偏离发布值")</x:f>
        <x:v>PASS</x:v>
      </x:c>
      <x:c r="G190" s="177" t="str">
        <x:v>tj2025；财报原值，亿元/比例</x:v>
      </x:c>
      <x:c r="H190" s="184"/>
    </x:row>
    <x:row r="191">
      <x:c r="A191" s="177" t="str">
        <x:v>R9-RD-688195-2025H1-D</x:v>
      </x:c>
      <x:c r="B191" s="177" t="str">
        <x:v>腾景科技2025H1营业收入</x:v>
      </x:c>
      <x:c r="C191" s="230" t="n">
        <x:f>'研发与资产'!D50</x:f>
        <x:v>2.6287719995</x:v>
      </x:c>
      <x:c r="D191" s="230" t="n">
        <x:v>2.6287719995</x:v>
      </x:c>
      <x:c r="E191" s="230" t="n">
        <x:f>C191-D191</x:f>
        <x:v>0</x:v>
      </x:c>
      <x:c r="F191" s="177" t="str">
        <x:f>IF(ABS(E191)&lt;0.000001,"PASS","偏离发布值")</x:f>
        <x:v>PASS</x:v>
      </x:c>
      <x:c r="G191" s="177" t="str">
        <x:v>tj2026h1；财报原值，亿元/比例</x:v>
      </x:c>
      <x:c r="H191" s="184"/>
    </x:row>
    <x:row r="192">
      <x:c r="A192" s="177" t="str">
        <x:v>R9-RD-688195-2025H1-F</x:v>
      </x:c>
      <x:c r="B192" s="177" t="str">
        <x:v>腾景科技2025H1研发费用</x:v>
      </x:c>
      <x:c r="C192" s="230" t="n">
        <x:f>'研发与资产'!F50</x:f>
        <x:v>0.2910766641</x:v>
      </x:c>
      <x:c r="D192" s="230" t="n">
        <x:v>0.2910766641</x:v>
      </x:c>
      <x:c r="E192" s="230" t="n">
        <x:f>C192-D192</x:f>
        <x:v>0</x:v>
      </x:c>
      <x:c r="F192" s="177" t="str">
        <x:f>IF(ABS(E192)&lt;0.000001,"PASS","偏离发布值")</x:f>
        <x:v>PASS</x:v>
      </x:c>
      <x:c r="G192" s="177" t="str">
        <x:v>tj2026h1；财报原值，亿元/比例</x:v>
      </x:c>
      <x:c r="H192" s="184"/>
    </x:row>
    <x:row r="193">
      <x:c r="A193" s="177" t="str">
        <x:v>R9-RD-688195-2025H1-H</x:v>
      </x:c>
      <x:c r="B193" s="177" t="str">
        <x:v>腾景科技2025H1研发费用率</x:v>
      </x:c>
      <x:c r="C193" s="230" t="n">
        <x:f>'研发与资产'!H50</x:f>
        <x:v>0.11072723848069121</x:v>
      </x:c>
      <x:c r="D193" s="230" t="n">
        <x:v>0.11072723848069123</x:v>
      </x:c>
      <x:c r="E193" s="230" t="n">
        <x:f>C193-D193</x:f>
        <x:v>-1.3877787807814457e-17</x:v>
      </x:c>
      <x:c r="F193" s="177" t="str">
        <x:f>IF(ABS(E193)&lt;0.000001,"PASS","偏离发布值")</x:f>
        <x:v>PASS</x:v>
      </x:c>
      <x:c r="G193" s="177" t="str">
        <x:v>tj2026h1；财报原值，亿元/比例</x:v>
      </x:c>
      <x:c r="H193" s="184"/>
    </x:row>
    <x:row r="194">
      <x:c r="A194" s="177" t="str">
        <x:v>R9-RD-688195-2026H1-D</x:v>
      </x:c>
      <x:c r="B194" s="177" t="str">
        <x:v>腾景科技2026H1营业收入</x:v>
      </x:c>
      <x:c r="C194" s="230" t="n">
        <x:f>'研发与资产'!D51</x:f>
        <x:v>4.2939274086</x:v>
      </x:c>
      <x:c r="D194" s="230" t="n">
        <x:v>4.2939274086</x:v>
      </x:c>
      <x:c r="E194" s="230" t="n">
        <x:f>C194-D194</x:f>
        <x:v>0</x:v>
      </x:c>
      <x:c r="F194" s="177" t="str">
        <x:f>IF(ABS(E194)&lt;0.000001,"PASS","偏离发布值")</x:f>
        <x:v>PASS</x:v>
      </x:c>
      <x:c r="G194" s="177" t="str">
        <x:v>tj2026h1；财报原值，亿元/比例</x:v>
      </x:c>
      <x:c r="H194" s="184"/>
    </x:row>
    <x:row r="195">
      <x:c r="A195" s="177" t="str">
        <x:v>R9-RD-688195-2026H1-F</x:v>
      </x:c>
      <x:c r="B195" s="177" t="str">
        <x:v>腾景科技2026H1研发费用</x:v>
      </x:c>
      <x:c r="C195" s="230" t="n">
        <x:f>'研发与资产'!F51</x:f>
        <x:v>0.4902781282</x:v>
      </x:c>
      <x:c r="D195" s="230" t="n">
        <x:v>0.4902781282</x:v>
      </x:c>
      <x:c r="E195" s="230" t="n">
        <x:f>C195-D195</x:f>
        <x:v>0</x:v>
      </x:c>
      <x:c r="F195" s="177" t="str">
        <x:f>IF(ABS(E195)&lt;0.000001,"PASS","偏离发布值")</x:f>
        <x:v>PASS</x:v>
      </x:c>
      <x:c r="G195" s="177" t="str">
        <x:v>tj2026h1；财报原值，亿元/比例</x:v>
      </x:c>
      <x:c r="H195" s="184"/>
    </x:row>
    <x:row r="196">
      <x:c r="A196" s="177" t="str">
        <x:v>R9-RD-688195-2026H1-H</x:v>
      </x:c>
      <x:c r="B196" s="177" t="str">
        <x:v>腾景科技2026H1研发费用率</x:v>
      </x:c>
      <x:c r="C196" s="230" t="n">
        <x:f>'研发与资产'!H51</x:f>
        <x:v>0.11417941701065021</x:v>
      </x:c>
      <x:c r="D196" s="230" t="n">
        <x:v>0.11417941701065021</x:v>
      </x:c>
      <x:c r="E196" s="230" t="n">
        <x:f>C196-D196</x:f>
        <x:v>0</x:v>
      </x:c>
      <x:c r="F196" s="177" t="str">
        <x:f>IF(ABS(E196)&lt;0.000001,"PASS","偏离发布值")</x:f>
        <x:v>PASS</x:v>
      </x:c>
      <x:c r="G196" s="177" t="str">
        <x:v>tj2026h1；财报原值，亿元/比例</x:v>
      </x:c>
      <x:c r="H196" s="184"/>
    </x:row>
    <x:row r="197">
      <x:c r="A197" s="177" t="str">
        <x:v>R9-RD-688127-2023A-D</x:v>
      </x:c>
      <x:c r="B197" s="177" t="str">
        <x:v>蓝特光学2023A营业收入</x:v>
      </x:c>
      <x:c r="C197" s="230" t="n">
        <x:f>'研发与资产'!D52</x:f>
        <x:v>7.5446348595</x:v>
      </x:c>
      <x:c r="D197" s="230" t="n">
        <x:v>7.5446348595</x:v>
      </x:c>
      <x:c r="E197" s="230" t="n">
        <x:f>C197-D197</x:f>
        <x:v>0</x:v>
      </x:c>
      <x:c r="F197" s="177" t="str">
        <x:f>IF(ABS(E197)&lt;0.000001,"PASS","偏离发布值")</x:f>
        <x:v>PASS</x:v>
      </x:c>
      <x:c r="G197" s="177" t="str">
        <x:v>lt2024；财报原值，亿元/比例</x:v>
      </x:c>
      <x:c r="H197" s="184"/>
    </x:row>
    <x:row r="198">
      <x:c r="A198" s="177" t="str">
        <x:v>R9-RD-688127-2023A-F</x:v>
      </x:c>
      <x:c r="B198" s="177" t="str">
        <x:v>蓝特光学2023A研发费用</x:v>
      </x:c>
      <x:c r="C198" s="230" t="n">
        <x:f>'研发与资产'!F52</x:f>
        <x:v>0.6557537532</x:v>
      </x:c>
      <x:c r="D198" s="230" t="n">
        <x:v>0.6557537532</x:v>
      </x:c>
      <x:c r="E198" s="230" t="n">
        <x:f>C198-D198</x:f>
        <x:v>0</x:v>
      </x:c>
      <x:c r="F198" s="177" t="str">
        <x:f>IF(ABS(E198)&lt;0.000001,"PASS","偏离发布值")</x:f>
        <x:v>PASS</x:v>
      </x:c>
      <x:c r="G198" s="177" t="str">
        <x:v>lt2024；财报原值，亿元/比例</x:v>
      </x:c>
      <x:c r="H198" s="184"/>
    </x:row>
    <x:row r="199">
      <x:c r="A199" s="177" t="str">
        <x:v>R9-RD-688127-2023A-H</x:v>
      </x:c>
      <x:c r="B199" s="177" t="str">
        <x:v>蓝特光学2023A研发费用率</x:v>
      </x:c>
      <x:c r="C199" s="230" t="n">
        <x:f>'研发与资产'!H52</x:f>
        <x:v>0.08691656593218591</x:v>
      </x:c>
      <x:c r="D199" s="230" t="n">
        <x:v>0.08691656593218591</x:v>
      </x:c>
      <x:c r="E199" s="230" t="n">
        <x:f>C199-D199</x:f>
        <x:v>0</x:v>
      </x:c>
      <x:c r="F199" s="177" t="str">
        <x:f>IF(ABS(E199)&lt;0.000001,"PASS","偏离发布值")</x:f>
        <x:v>PASS</x:v>
      </x:c>
      <x:c r="G199" s="177" t="str">
        <x:v>lt2024；财报原值，亿元/比例</x:v>
      </x:c>
      <x:c r="H199" s="184"/>
    </x:row>
    <x:row r="200">
      <x:c r="A200" s="177" t="str">
        <x:v>R9-RD-688127-2024A-D</x:v>
      </x:c>
      <x:c r="B200" s="177" t="str">
        <x:v>蓝特光学2024A营业收入</x:v>
      </x:c>
      <x:c r="C200" s="230" t="n">
        <x:f>'研发与资产'!D53</x:f>
        <x:v>10.3421273962</x:v>
      </x:c>
      <x:c r="D200" s="230" t="n">
        <x:v>10.3421273962</x:v>
      </x:c>
      <x:c r="E200" s="230" t="n">
        <x:f>C200-D200</x:f>
        <x:v>0</x:v>
      </x:c>
      <x:c r="F200" s="177" t="str">
        <x:f>IF(ABS(E200)&lt;0.000001,"PASS","偏离发布值")</x:f>
        <x:v>PASS</x:v>
      </x:c>
      <x:c r="G200" s="177" t="str">
        <x:v>lt2025；财报原值，亿元/比例</x:v>
      </x:c>
      <x:c r="H200" s="184"/>
    </x:row>
    <x:row r="201">
      <x:c r="A201" s="177" t="str">
        <x:v>R9-RD-688127-2024A-F</x:v>
      </x:c>
      <x:c r="B201" s="177" t="str">
        <x:v>蓝特光学2024A研发费用</x:v>
      </x:c>
      <x:c r="C201" s="230" t="n">
        <x:f>'研发与资产'!F53</x:f>
        <x:v>1.165212305</x:v>
      </x:c>
      <x:c r="D201" s="230" t="n">
        <x:v>1.165212305</x:v>
      </x:c>
      <x:c r="E201" s="230" t="n">
        <x:f>C201-D201</x:f>
        <x:v>0</x:v>
      </x:c>
      <x:c r="F201" s="177" t="str">
        <x:f>IF(ABS(E201)&lt;0.000001,"PASS","偏离发布值")</x:f>
        <x:v>PASS</x:v>
      </x:c>
      <x:c r="G201" s="177" t="str">
        <x:v>lt2025；财报原值，亿元/比例</x:v>
      </x:c>
      <x:c r="H201" s="184"/>
    </x:row>
    <x:row r="202">
      <x:c r="A202" s="177" t="str">
        <x:v>R9-RD-688127-2024A-H</x:v>
      </x:c>
      <x:c r="B202" s="177" t="str">
        <x:v>蓝特光学2024A研发费用率</x:v>
      </x:c>
      <x:c r="C202" s="230" t="n">
        <x:f>'研发与资产'!H53</x:f>
        <x:v>0.11266659753467484</x:v>
      </x:c>
      <x:c r="D202" s="230" t="n">
        <x:v>0.11266659753467484</x:v>
      </x:c>
      <x:c r="E202" s="230" t="n">
        <x:f>C202-D202</x:f>
        <x:v>0</x:v>
      </x:c>
      <x:c r="F202" s="177" t="str">
        <x:f>IF(ABS(E202)&lt;0.000001,"PASS","偏离发布值")</x:f>
        <x:v>PASS</x:v>
      </x:c>
      <x:c r="G202" s="177" t="str">
        <x:v>lt2025；财报原值，亿元/比例</x:v>
      </x:c>
      <x:c r="H202" s="184"/>
    </x:row>
    <x:row r="203">
      <x:c r="A203" s="177" t="str">
        <x:v>R9-RD-688127-2025A-D</x:v>
      </x:c>
      <x:c r="B203" s="177" t="str">
        <x:v>蓝特光学2025A营业收入</x:v>
      </x:c>
      <x:c r="C203" s="230" t="n">
        <x:f>'研发与资产'!D54</x:f>
        <x:v>15.3601669763</x:v>
      </x:c>
      <x:c r="D203" s="230" t="n">
        <x:v>15.3601669763</x:v>
      </x:c>
      <x:c r="E203" s="230" t="n">
        <x:f>C203-D203</x:f>
        <x:v>0</x:v>
      </x:c>
      <x:c r="F203" s="177" t="str">
        <x:f>IF(ABS(E203)&lt;0.000001,"PASS","偏离发布值")</x:f>
        <x:v>PASS</x:v>
      </x:c>
      <x:c r="G203" s="177" t="str">
        <x:v>lt2025；财报原值，亿元/比例</x:v>
      </x:c>
      <x:c r="H203" s="184"/>
    </x:row>
    <x:row r="204">
      <x:c r="A204" s="177" t="str">
        <x:v>R9-RD-688127-2025A-F</x:v>
      </x:c>
      <x:c r="B204" s="177" t="str">
        <x:v>蓝特光学2025A研发费用</x:v>
      </x:c>
      <x:c r="C204" s="230" t="n">
        <x:f>'研发与资产'!F54</x:f>
        <x:v>1.2277040341</x:v>
      </x:c>
      <x:c r="D204" s="230" t="n">
        <x:v>1.2277040341</x:v>
      </x:c>
      <x:c r="E204" s="230" t="n">
        <x:f>C204-D204</x:f>
        <x:v>0</x:v>
      </x:c>
      <x:c r="F204" s="177" t="str">
        <x:f>IF(ABS(E204)&lt;0.000001,"PASS","偏离发布值")</x:f>
        <x:v>PASS</x:v>
      </x:c>
      <x:c r="G204" s="177" t="str">
        <x:v>lt2025；财报原值，亿元/比例</x:v>
      </x:c>
      <x:c r="H204" s="184"/>
    </x:row>
    <x:row r="205">
      <x:c r="A205" s="177" t="str">
        <x:v>R9-RD-688127-2025A-H</x:v>
      </x:c>
      <x:c r="B205" s="177" t="str">
        <x:v>蓝特光学2025A研发费用率</x:v>
      </x:c>
      <x:c r="C205" s="230" t="n">
        <x:f>'研发与资产'!H54</x:f>
        <x:v>0.07992777917025827</x:v>
      </x:c>
      <x:c r="D205" s="230" t="n">
        <x:v>0.07992777917025826</x:v>
      </x:c>
      <x:c r="E205" s="230" t="n">
        <x:f>C205-D205</x:f>
        <x:v>1.3877787807814457e-17</x:v>
      </x:c>
      <x:c r="F205" s="177" t="str">
        <x:f>IF(ABS(E205)&lt;0.000001,"PASS","偏离发布值")</x:f>
        <x:v>PASS</x:v>
      </x:c>
      <x:c r="G205" s="177" t="str">
        <x:v>lt2025；财报原值，亿元/比例</x:v>
      </x:c>
      <x:c r="H205" s="184"/>
    </x:row>
    <x:row r="206">
      <x:c r="A206" s="177" t="str">
        <x:v>R9-RD-688127-2025H1-D</x:v>
      </x:c>
      <x:c r="B206" s="177" t="str">
        <x:v>蓝特光学2025H1营业收入</x:v>
      </x:c>
      <x:c r="C206" s="230" t="n">
        <x:f>'研发与资产'!D55</x:f>
        <x:v>5.7689357357</x:v>
      </x:c>
      <x:c r="D206" s="230" t="n">
        <x:v>5.7689357357</x:v>
      </x:c>
      <x:c r="E206" s="230" t="n">
        <x:f>C206-D206</x:f>
        <x:v>0</x:v>
      </x:c>
      <x:c r="F206" s="177" t="str">
        <x:f>IF(ABS(E206)&lt;0.000001,"PASS","偏离发布值")</x:f>
        <x:v>PASS</x:v>
      </x:c>
      <x:c r="G206" s="177" t="str">
        <x:v>lt2026h1；财报原值，亿元/比例</x:v>
      </x:c>
      <x:c r="H206" s="184"/>
    </x:row>
    <x:row r="207">
      <x:c r="A207" s="177" t="str">
        <x:v>R9-RD-688127-2025H1-F</x:v>
      </x:c>
      <x:c r="B207" s="177" t="str">
        <x:v>蓝特光学2025H1研发费用</x:v>
      </x:c>
      <x:c r="C207" s="230" t="n">
        <x:f>'研发与资产'!F55</x:f>
        <x:v>0.5623236682</x:v>
      </x:c>
      <x:c r="D207" s="230" t="n">
        <x:v>0.5623236682</x:v>
      </x:c>
      <x:c r="E207" s="230" t="n">
        <x:f>C207-D207</x:f>
        <x:v>0</x:v>
      </x:c>
      <x:c r="F207" s="177" t="str">
        <x:f>IF(ABS(E207)&lt;0.000001,"PASS","偏离发布值")</x:f>
        <x:v>PASS</x:v>
      </x:c>
      <x:c r="G207" s="177" t="str">
        <x:v>lt2026h1；财报原值，亿元/比例</x:v>
      </x:c>
      <x:c r="H207" s="184"/>
    </x:row>
    <x:row r="208">
      <x:c r="A208" s="177" t="str">
        <x:v>R9-RD-688127-2025H1-H</x:v>
      </x:c>
      <x:c r="B208" s="177" t="str">
        <x:v>蓝特光学2025H1研发费用率</x:v>
      </x:c>
      <x:c r="C208" s="230" t="n">
        <x:f>'研发与资产'!H55</x:f>
        <x:v>0.09747442057989365</x:v>
      </x:c>
      <x:c r="D208" s="230" t="n">
        <x:v>0.09747442057989364</x:v>
      </x:c>
      <x:c r="E208" s="230" t="n">
        <x:f>C208-D208</x:f>
        <x:v>1.3877787807814457e-17</x:v>
      </x:c>
      <x:c r="F208" s="177" t="str">
        <x:f>IF(ABS(E208)&lt;0.000001,"PASS","偏离发布值")</x:f>
        <x:v>PASS</x:v>
      </x:c>
      <x:c r="G208" s="177" t="str">
        <x:v>lt2026h1；财报原值，亿元/比例</x:v>
      </x:c>
      <x:c r="H208" s="184"/>
    </x:row>
    <x:row r="209">
      <x:c r="A209" s="177" t="str">
        <x:v>R9-RD-688127-2026H1-D</x:v>
      </x:c>
      <x:c r="B209" s="177" t="str">
        <x:v>蓝特光学2026H1营业收入</x:v>
      </x:c>
      <x:c r="C209" s="230" t="n">
        <x:f>'研发与资产'!D56</x:f>
        <x:v>10.124527753099999</x:v>
      </x:c>
      <x:c r="D209" s="230" t="n">
        <x:v>10.124527753099999</x:v>
      </x:c>
      <x:c r="E209" s="230" t="n">
        <x:f>C209-D209</x:f>
        <x:v>0</x:v>
      </x:c>
      <x:c r="F209" s="177" t="str">
        <x:f>IF(ABS(E209)&lt;0.000001,"PASS","偏离发布值")</x:f>
        <x:v>PASS</x:v>
      </x:c>
      <x:c r="G209" s="177" t="str">
        <x:v>lt2026h1；财报原值，亿元/比例</x:v>
      </x:c>
      <x:c r="H209" s="184"/>
    </x:row>
    <x:row r="210">
      <x:c r="A210" s="177" t="str">
        <x:v>R9-RD-688127-2026H1-F</x:v>
      </x:c>
      <x:c r="B210" s="177" t="str">
        <x:v>蓝特光学2026H1研发费用</x:v>
      </x:c>
      <x:c r="C210" s="230" t="n">
        <x:f>'研发与资产'!F56</x:f>
        <x:v>0.7669862279999999</x:v>
      </x:c>
      <x:c r="D210" s="230" t="n">
        <x:v>0.7669862279999999</x:v>
      </x:c>
      <x:c r="E210" s="230" t="n">
        <x:f>C210-D210</x:f>
        <x:v>0</x:v>
      </x:c>
      <x:c r="F210" s="177" t="str">
        <x:f>IF(ABS(E210)&lt;0.000001,"PASS","偏离发布值")</x:f>
        <x:v>PASS</x:v>
      </x:c>
      <x:c r="G210" s="177" t="str">
        <x:v>lt2026h1；财报原值，亿元/比例</x:v>
      </x:c>
      <x:c r="H210" s="184"/>
    </x:row>
    <x:row r="211">
      <x:c r="A211" s="177" t="str">
        <x:v>R9-RD-688127-2026H1-H</x:v>
      </x:c>
      <x:c r="B211" s="177" t="str">
        <x:v>蓝特光学2026H1研发费用率</x:v>
      </x:c>
      <x:c r="C211" s="230" t="n">
        <x:f>'研发与资产'!H56</x:f>
        <x:v>0.07575525957397457</x:v>
      </x:c>
      <x:c r="D211" s="230" t="n">
        <x:v>0.07575525957397457</x:v>
      </x:c>
      <x:c r="E211" s="230" t="n">
        <x:f>C211-D211</x:f>
        <x:v>0</x:v>
      </x:c>
      <x:c r="F211" s="177" t="str">
        <x:f>IF(ABS(E211)&lt;0.000001,"PASS","偏离发布值")</x:f>
        <x:v>PASS</x:v>
      </x:c>
      <x:c r="G211" s="177" t="str">
        <x:v>lt2026h1；财报原值，亿元/比例</x:v>
      </x:c>
      <x:c r="H211" s="184"/>
    </x:row>
    <x:row r="212">
      <x:c r="A212" s="177" t="str">
        <x:v>R9-RD-002273-2023A-D</x:v>
      </x:c>
      <x:c r="B212" s="177" t="str">
        <x:v>水晶光电2023A营业收入</x:v>
      </x:c>
      <x:c r="C212" s="230" t="n">
        <x:f>'研发与资产'!D57</x:f>
        <x:v>50.7624621702</x:v>
      </x:c>
      <x:c r="D212" s="230" t="n">
        <x:v>50.7624621702</x:v>
      </x:c>
      <x:c r="E212" s="230" t="n">
        <x:f>C212-D212</x:f>
        <x:v>0</x:v>
      </x:c>
      <x:c r="F212" s="177" t="str">
        <x:f>IF(ABS(E212)&lt;0.000001,"PASS","偏离发布值")</x:f>
        <x:v>PASS</x:v>
      </x:c>
      <x:c r="G212" s="177" t="str">
        <x:v>sj2024；财报原值，亿元/比例</x:v>
      </x:c>
      <x:c r="H212" s="184"/>
    </x:row>
    <x:row r="213">
      <x:c r="A213" s="177" t="str">
        <x:v>R9-RD-002273-2023A-F</x:v>
      </x:c>
      <x:c r="B213" s="177" t="str">
        <x:v>水晶光电2023A研发费用</x:v>
      </x:c>
      <x:c r="C213" s="230" t="n">
        <x:f>'研发与资产'!F57</x:f>
        <x:v>4.2388671296</x:v>
      </x:c>
      <x:c r="D213" s="230" t="n">
        <x:v>4.2388671296</x:v>
      </x:c>
      <x:c r="E213" s="230" t="n">
        <x:f>C213-D213</x:f>
        <x:v>0</x:v>
      </x:c>
      <x:c r="F213" s="177" t="str">
        <x:f>IF(ABS(E213)&lt;0.000001,"PASS","偏离发布值")</x:f>
        <x:v>PASS</x:v>
      </x:c>
      <x:c r="G213" s="177" t="str">
        <x:v>sj2024；财报原值，亿元/比例</x:v>
      </x:c>
      <x:c r="H213" s="184"/>
    </x:row>
    <x:row r="214">
      <x:c r="A214" s="177" t="str">
        <x:v>R9-RD-002273-2023A-H</x:v>
      </x:c>
      <x:c r="B214" s="177" t="str">
        <x:v>水晶光电2023A研发费用率</x:v>
      </x:c>
      <x:c r="C214" s="230" t="n">
        <x:f>'研发与资产'!H57</x:f>
        <x:v>0.08350397022484103</x:v>
      </x:c>
      <x:c r="D214" s="230" t="n">
        <x:v>0.08350397022484102</x:v>
      </x:c>
      <x:c r="E214" s="230" t="n">
        <x:f>C214-D214</x:f>
        <x:v>1.3877787807814457e-17</x:v>
      </x:c>
      <x:c r="F214" s="177" t="str">
        <x:f>IF(ABS(E214)&lt;0.000001,"PASS","偏离发布值")</x:f>
        <x:v>PASS</x:v>
      </x:c>
      <x:c r="G214" s="177" t="str">
        <x:v>sj2024；财报原值，亿元/比例</x:v>
      </x:c>
      <x:c r="H214" s="184"/>
    </x:row>
    <x:row r="215">
      <x:c r="A215" s="177" t="str">
        <x:v>R9-RD-002273-2024A-D</x:v>
      </x:c>
      <x:c r="B215" s="177" t="str">
        <x:v>水晶光电2024A营业收入</x:v>
      </x:c>
      <x:c r="C215" s="230" t="n">
        <x:f>'研发与资产'!D58</x:f>
        <x:v>62.7768843184</x:v>
      </x:c>
      <x:c r="D215" s="230" t="n">
        <x:v>62.7768843184</x:v>
      </x:c>
      <x:c r="E215" s="230" t="n">
        <x:f>C215-D215</x:f>
        <x:v>0</x:v>
      </x:c>
      <x:c r="F215" s="177" t="str">
        <x:f>IF(ABS(E215)&lt;0.000001,"PASS","偏离发布值")</x:f>
        <x:v>PASS</x:v>
      </x:c>
      <x:c r="G215" s="177" t="str">
        <x:v>sj2025；财报原值，亿元/比例</x:v>
      </x:c>
      <x:c r="H215" s="184"/>
    </x:row>
    <x:row r="216">
      <x:c r="A216" s="177" t="str">
        <x:v>R9-RD-002273-2024A-F</x:v>
      </x:c>
      <x:c r="B216" s="177" t="str">
        <x:v>水晶光电2024A研发费用</x:v>
      </x:c>
      <x:c r="C216" s="230" t="n">
        <x:f>'研发与资产'!F58</x:f>
        <x:v>4.0779477043</x:v>
      </x:c>
      <x:c r="D216" s="230" t="n">
        <x:v>4.0779477043</x:v>
      </x:c>
      <x:c r="E216" s="230" t="n">
        <x:f>C216-D216</x:f>
        <x:v>0</x:v>
      </x:c>
      <x:c r="F216" s="177" t="str">
        <x:f>IF(ABS(E216)&lt;0.000001,"PASS","偏离发布值")</x:f>
        <x:v>PASS</x:v>
      </x:c>
      <x:c r="G216" s="177" t="str">
        <x:v>sj2025；财报原值，亿元/比例</x:v>
      </x:c>
      <x:c r="H216" s="184"/>
    </x:row>
    <x:row r="217">
      <x:c r="A217" s="177" t="str">
        <x:v>R9-RD-002273-2024A-H</x:v>
      </x:c>
      <x:c r="B217" s="177" t="str">
        <x:v>水晶光电2024A研发费用率</x:v>
      </x:c>
      <x:c r="C217" s="230" t="n">
        <x:f>'研发与资产'!H58</x:f>
        <x:v>0.06495938351474935</x:v>
      </x:c>
      <x:c r="D217" s="230" t="n">
        <x:v>0.06495938351474935</x:v>
      </x:c>
      <x:c r="E217" s="230" t="n">
        <x:f>C217-D217</x:f>
        <x:v>0</x:v>
      </x:c>
      <x:c r="F217" s="177" t="str">
        <x:f>IF(ABS(E217)&lt;0.000001,"PASS","偏离发布值")</x:f>
        <x:v>PASS</x:v>
      </x:c>
      <x:c r="G217" s="177" t="str">
        <x:v>sj2025；财报原值，亿元/比例</x:v>
      </x:c>
      <x:c r="H217" s="184"/>
    </x:row>
    <x:row r="218">
      <x:c r="A218" s="177" t="str">
        <x:v>R9-RD-002273-2025A-D</x:v>
      </x:c>
      <x:c r="B218" s="177" t="str">
        <x:v>水晶光电2025A营业收入</x:v>
      </x:c>
      <x:c r="C218" s="230" t="n">
        <x:f>'研发与资产'!D59</x:f>
        <x:v>69.2846824887</x:v>
      </x:c>
      <x:c r="D218" s="230" t="n">
        <x:v>69.2846824887</x:v>
      </x:c>
      <x:c r="E218" s="230" t="n">
        <x:f>C218-D218</x:f>
        <x:v>0</x:v>
      </x:c>
      <x:c r="F218" s="177" t="str">
        <x:f>IF(ABS(E218)&lt;0.000001,"PASS","偏离发布值")</x:f>
        <x:v>PASS</x:v>
      </x:c>
      <x:c r="G218" s="177" t="str">
        <x:v>sj2025；财报原值，亿元/比例</x:v>
      </x:c>
      <x:c r="H218" s="184"/>
    </x:row>
    <x:row r="219">
      <x:c r="A219" s="177" t="str">
        <x:v>R9-RD-002273-2025A-F</x:v>
      </x:c>
      <x:c r="B219" s="177" t="str">
        <x:v>水晶光电2025A研发费用</x:v>
      </x:c>
      <x:c r="C219" s="230" t="n">
        <x:f>'研发与资产'!F59</x:f>
        <x:v>4.1476318993</x:v>
      </x:c>
      <x:c r="D219" s="230" t="n">
        <x:v>4.1476318993</x:v>
      </x:c>
      <x:c r="E219" s="230" t="n">
        <x:f>C219-D219</x:f>
        <x:v>0</x:v>
      </x:c>
      <x:c r="F219" s="177" t="str">
        <x:f>IF(ABS(E219)&lt;0.000001,"PASS","偏离发布值")</x:f>
        <x:v>PASS</x:v>
      </x:c>
      <x:c r="G219" s="177" t="str">
        <x:v>sj2025；财报原值，亿元/比例</x:v>
      </x:c>
      <x:c r="H219" s="184"/>
    </x:row>
    <x:row r="220">
      <x:c r="A220" s="177" t="str">
        <x:v>R9-RD-002273-2025A-H</x:v>
      </x:c>
      <x:c r="B220" s="177" t="str">
        <x:v>水晶光电2025A研发费用率</x:v>
      </x:c>
      <x:c r="C220" s="230" t="n">
        <x:f>'研发与资产'!H59</x:f>
        <x:v>0.059863619927484825</x:v>
      </x:c>
      <x:c r="D220" s="230" t="n">
        <x:v>0.059863619927484825</x:v>
      </x:c>
      <x:c r="E220" s="230" t="n">
        <x:f>C220-D220</x:f>
        <x:v>0</x:v>
      </x:c>
      <x:c r="F220" s="177" t="str">
        <x:f>IF(ABS(E220)&lt;0.000001,"PASS","偏离发布值")</x:f>
        <x:v>PASS</x:v>
      </x:c>
      <x:c r="G220" s="177" t="str">
        <x:v>sj2025；财报原值，亿元/比例</x:v>
      </x:c>
      <x:c r="H220" s="184"/>
    </x:row>
    <x:row r="221">
      <x:c r="A221" s="177" t="str">
        <x:v>R9-RD-002273-2025H1-D</x:v>
      </x:c>
      <x:c r="B221" s="177" t="str">
        <x:v>水晶光电2025H1营业收入</x:v>
      </x:c>
      <x:c r="C221" s="230" t="n">
        <x:f>'研发与资产'!D60</x:f>
        <x:v>30.2045977707</x:v>
      </x:c>
      <x:c r="D221" s="230" t="n">
        <x:v>30.2045977707</x:v>
      </x:c>
      <x:c r="E221" s="230" t="n">
        <x:f>C221-D221</x:f>
        <x:v>0</x:v>
      </x:c>
      <x:c r="F221" s="177" t="str">
        <x:f>IF(ABS(E221)&lt;0.000001,"PASS","偏离发布值")</x:f>
        <x:v>PASS</x:v>
      </x:c>
      <x:c r="G221" s="177" t="str">
        <x:v>sj2026h1；财报原值，亿元/比例</x:v>
      </x:c>
      <x:c r="H221" s="184"/>
    </x:row>
    <x:row r="222">
      <x:c r="A222" s="177" t="str">
        <x:v>R9-RD-002273-2025H1-F</x:v>
      </x:c>
      <x:c r="B222" s="177" t="str">
        <x:v>水晶光电2025H1研发费用</x:v>
      </x:c>
      <x:c r="C222" s="230" t="n">
        <x:f>'研发与资产'!F60</x:f>
        <x:v>1.9362078243</x:v>
      </x:c>
      <x:c r="D222" s="230" t="n">
        <x:v>1.9362078243</x:v>
      </x:c>
      <x:c r="E222" s="230" t="n">
        <x:f>C222-D222</x:f>
        <x:v>0</x:v>
      </x:c>
      <x:c r="F222" s="177" t="str">
        <x:f>IF(ABS(E222)&lt;0.000001,"PASS","偏离发布值")</x:f>
        <x:v>PASS</x:v>
      </x:c>
      <x:c r="G222" s="177" t="str">
        <x:v>sj2026h1；财报原值，亿元/比例</x:v>
      </x:c>
      <x:c r="H222" s="184"/>
    </x:row>
    <x:row r="223">
      <x:c r="A223" s="177" t="str">
        <x:v>R9-RD-002273-2025H1-H</x:v>
      </x:c>
      <x:c r="B223" s="177" t="str">
        <x:v>水晶光电2025H1研发费用率</x:v>
      </x:c>
      <x:c r="C223" s="230" t="n">
        <x:f>'研发与资产'!H60</x:f>
        <x:v>0.06410308255050562</x:v>
      </x:c>
      <x:c r="D223" s="230" t="n">
        <x:v>0.06410308255050562</x:v>
      </x:c>
      <x:c r="E223" s="230" t="n">
        <x:f>C223-D223</x:f>
        <x:v>0</x:v>
      </x:c>
      <x:c r="F223" s="177" t="str">
        <x:f>IF(ABS(E223)&lt;0.000001,"PASS","偏离发布值")</x:f>
        <x:v>PASS</x:v>
      </x:c>
      <x:c r="G223" s="177" t="str">
        <x:v>sj2026h1；财报原值，亿元/比例</x:v>
      </x:c>
      <x:c r="H223" s="184"/>
    </x:row>
    <x:row r="224">
      <x:c r="A224" s="177" t="str">
        <x:v>R9-RD-002273-2026H1-D</x:v>
      </x:c>
      <x:c r="B224" s="177" t="str">
        <x:v>水晶光电2026H1营业收入</x:v>
      </x:c>
      <x:c r="C224" s="230" t="n">
        <x:f>'研发与资产'!D61</x:f>
        <x:v>34.7817650549</x:v>
      </x:c>
      <x:c r="D224" s="230" t="n">
        <x:v>34.7817650549</x:v>
      </x:c>
      <x:c r="E224" s="230" t="n">
        <x:f>C224-D224</x:f>
        <x:v>0</x:v>
      </x:c>
      <x:c r="F224" s="177" t="str">
        <x:f>IF(ABS(E224)&lt;0.000001,"PASS","偏离发布值")</x:f>
        <x:v>PASS</x:v>
      </x:c>
      <x:c r="G224" s="177" t="str">
        <x:v>sj2026h1；财报原值，亿元/比例</x:v>
      </x:c>
      <x:c r="H224" s="184"/>
    </x:row>
    <x:row r="225">
      <x:c r="A225" s="177" t="str">
        <x:v>R9-RD-002273-2026H1-F</x:v>
      </x:c>
      <x:c r="B225" s="177" t="str">
        <x:v>水晶光电2026H1研发费用</x:v>
      </x:c>
      <x:c r="C225" s="230" t="n">
        <x:f>'研发与资产'!F61</x:f>
        <x:v>2.8182631583999997</x:v>
      </x:c>
      <x:c r="D225" s="230" t="n">
        <x:v>2.8182631583999997</x:v>
      </x:c>
      <x:c r="E225" s="230" t="n">
        <x:f>C225-D225</x:f>
        <x:v>0</x:v>
      </x:c>
      <x:c r="F225" s="177" t="str">
        <x:f>IF(ABS(E225)&lt;0.000001,"PASS","偏离发布值")</x:f>
        <x:v>PASS</x:v>
      </x:c>
      <x:c r="G225" s="177" t="str">
        <x:v>sj2026h1；财报原值，亿元/比例</x:v>
      </x:c>
      <x:c r="H225" s="184"/>
    </x:row>
    <x:row r="226">
      <x:c r="A226" s="177" t="str">
        <x:v>R9-RD-002273-2026H1-H</x:v>
      </x:c>
      <x:c r="B226" s="177" t="str">
        <x:v>水晶光电2026H1研发费用率</x:v>
      </x:c>
      <x:c r="C226" s="230" t="n">
        <x:f>'研发与资产'!H61</x:f>
        <x:v>0.08102703108803179</x:v>
      </x:c>
      <x:c r="D226" s="230" t="n">
        <x:v>0.08102703108803179</x:v>
      </x:c>
      <x:c r="E226" s="230" t="n">
        <x:f>C226-D226</x:f>
        <x:v>0</x:v>
      </x:c>
      <x:c r="F226" s="177" t="str">
        <x:f>IF(ABS(E226)&lt;0.000001,"PASS","偏离发布值")</x:f>
        <x:v>PASS</x:v>
      </x:c>
      <x:c r="G226" s="177" t="str">
        <x:v>sj2026h1；财报原值，亿元/比例</x:v>
      </x:c>
      <x:c r="H226" s="184"/>
    </x:row>
    <x:row r="227">
      <x:c r="A227" s="177" t="str">
        <x:v>R9-ASSET-2023-12-31-B</x:v>
      </x:c>
      <x:c r="B227" s="177" t="str">
        <x:v>2023年末固定资产净额</x:v>
      </x:c>
      <x:c r="C227" s="230" t="n">
        <x:f>'研发与资产'!B70</x:f>
        <x:v>3.2919968844</x:v>
      </x:c>
      <x:c r="D227" s="230" t="n">
        <x:v>3.2919968844</x:v>
      </x:c>
      <x:c r="E227" s="230" t="n">
        <x:f>C227-D227</x:f>
        <x:v>0</x:v>
      </x:c>
      <x:c r="F227" s="177" t="str">
        <x:f>IF(ABS(E227)&lt;0.000001,"PASS","偏离发布值")</x:f>
        <x:v>PASS</x:v>
      </x:c>
      <x:c r="G227" s="177" t="str">
        <x:v>jg2024，期末余额</x:v>
      </x:c>
      <x:c r="H227" s="184"/>
    </x:row>
    <x:row r="228">
      <x:c r="A228" s="177" t="str">
        <x:v>R9-ASSET-2023-12-31-C</x:v>
      </x:c>
      <x:c r="B228" s="177" t="str">
        <x:v>2023年末在建工程</x:v>
      </x:c>
      <x:c r="C228" s="230" t="n">
        <x:f>'研发与资产'!C70</x:f>
        <x:v>0.6039265276</x:v>
      </x:c>
      <x:c r="D228" s="230" t="n">
        <x:v>0.6039265276</x:v>
      </x:c>
      <x:c r="E228" s="230" t="n">
        <x:f>C228-D228</x:f>
        <x:v>0</x:v>
      </x:c>
      <x:c r="F228" s="177" t="str">
        <x:f>IF(ABS(E228)&lt;0.000001,"PASS","偏离发布值")</x:f>
        <x:v>PASS</x:v>
      </x:c>
      <x:c r="G228" s="177" t="str">
        <x:v>jg2024，期末余额</x:v>
      </x:c>
      <x:c r="H228" s="184"/>
    </x:row>
    <x:row r="229">
      <x:c r="A229" s="177" t="str">
        <x:v>R9-ASSET-2023-12-31-F</x:v>
      </x:c>
      <x:c r="B229" s="177" t="str">
        <x:v>2023年末存货账面余额</x:v>
      </x:c>
      <x:c r="C229" s="230" t="n">
        <x:f>'研发与资产'!F70</x:f>
        <x:v>2.6590827912</x:v>
      </x:c>
      <x:c r="D229" s="230" t="n">
        <x:v>2.6590827912</x:v>
      </x:c>
      <x:c r="E229" s="230" t="n">
        <x:f>C229-D229</x:f>
        <x:v>0</x:v>
      </x:c>
      <x:c r="F229" s="177" t="str">
        <x:f>IF(ABS(E229)&lt;0.000001,"PASS","偏离发布值")</x:f>
        <x:v>PASS</x:v>
      </x:c>
      <x:c r="G229" s="177" t="str">
        <x:v>jg2024，期末余额</x:v>
      </x:c>
      <x:c r="H229" s="184"/>
    </x:row>
    <x:row r="230">
      <x:c r="A230" s="177" t="str">
        <x:v>R9-ASSET-2023-12-31-G</x:v>
      </x:c>
      <x:c r="B230" s="177" t="str">
        <x:v>2023年末存货跌价准备</x:v>
      </x:c>
      <x:c r="C230" s="230" t="n">
        <x:f>'研发与资产'!G70</x:f>
        <x:v>0.6104347155</x:v>
      </x:c>
      <x:c r="D230" s="230" t="n">
        <x:v>0.6104347155</x:v>
      </x:c>
      <x:c r="E230" s="230" t="n">
        <x:f>C230-D230</x:f>
        <x:v>0</x:v>
      </x:c>
      <x:c r="F230" s="177" t="str">
        <x:f>IF(ABS(E230)&lt;0.000001,"PASS","偏离发布值")</x:f>
        <x:v>PASS</x:v>
      </x:c>
      <x:c r="G230" s="177" t="str">
        <x:v>jg2024，期末余额</x:v>
      </x:c>
      <x:c r="H230" s="184"/>
    </x:row>
    <x:row r="231">
      <x:c r="A231" s="177" t="str">
        <x:v>R9-ASSET-2023-12-31-H</x:v>
      </x:c>
      <x:c r="B231" s="177" t="str">
        <x:v>2023年末存货净额</x:v>
      </x:c>
      <x:c r="C231" s="230" t="n">
        <x:f>'研发与资产'!H70</x:f>
        <x:v>2.0486480757</x:v>
      </x:c>
      <x:c r="D231" s="230" t="n">
        <x:v>2.0486480757</x:v>
      </x:c>
      <x:c r="E231" s="230" t="n">
        <x:f>C231-D231</x:f>
        <x:v>0</x:v>
      </x:c>
      <x:c r="F231" s="177" t="str">
        <x:f>IF(ABS(E231)&lt;0.000001,"PASS","偏离发布值")</x:f>
        <x:v>PASS</x:v>
      </x:c>
      <x:c r="G231" s="177" t="str">
        <x:v>jg2024，期末余额</x:v>
      </x:c>
      <x:c r="H231" s="184"/>
    </x:row>
    <x:row r="232">
      <x:c r="A232" s="177" t="str">
        <x:v>R9-ASSET-2023-12-31-J</x:v>
      </x:c>
      <x:c r="B232" s="177" t="str">
        <x:v>2023年末应收账款</x:v>
      </x:c>
      <x:c r="C232" s="230" t="n">
        <x:f>'研发与资产'!J70</x:f>
        <x:v>1.5516177534</x:v>
      </x:c>
      <x:c r="D232" s="230" t="n">
        <x:v>1.5516177534</x:v>
      </x:c>
      <x:c r="E232" s="230" t="n">
        <x:f>C232-D232</x:f>
        <x:v>0</x:v>
      </x:c>
      <x:c r="F232" s="177" t="str">
        <x:f>IF(ABS(E232)&lt;0.000001,"PASS","偏离发布值")</x:f>
        <x:v>PASS</x:v>
      </x:c>
      <x:c r="G232" s="177" t="str">
        <x:v>jg2024，期末余额</x:v>
      </x:c>
      <x:c r="H232" s="184"/>
    </x:row>
    <x:row r="233">
      <x:c r="A233" s="177" t="str">
        <x:v>R9-ASSET-2023-12-31-K</x:v>
      </x:c>
      <x:c r="B233" s="177" t="str">
        <x:v>2023年末合同负债</x:v>
      </x:c>
      <x:c r="C233" s="230" t="n">
        <x:f>'研发与资产'!K70</x:f>
        <x:v>0.1328245834</x:v>
      </x:c>
      <x:c r="D233" s="230" t="n">
        <x:v>0.1328245834</x:v>
      </x:c>
      <x:c r="E233" s="230" t="n">
        <x:f>C233-D233</x:f>
        <x:v>0</x:v>
      </x:c>
      <x:c r="F233" s="177" t="str">
        <x:f>IF(ABS(E233)&lt;0.000001,"PASS","偏离发布值")</x:f>
        <x:v>PASS</x:v>
      </x:c>
      <x:c r="G233" s="177" t="str">
        <x:v>jg2024，期末余额</x:v>
      </x:c>
      <x:c r="H233" s="184"/>
    </x:row>
    <x:row r="234">
      <x:c r="A234" s="177" t="str">
        <x:v>R9-ASSET-2024-12-31-B</x:v>
      </x:c>
      <x:c r="B234" s="177" t="str">
        <x:v>2024年末固定资产净额</x:v>
      </x:c>
      <x:c r="C234" s="230" t="n">
        <x:f>'研发与资产'!B71</x:f>
        <x:v>6.8383080914</x:v>
      </x:c>
      <x:c r="D234" s="230" t="n">
        <x:v>6.8383080914</x:v>
      </x:c>
      <x:c r="E234" s="230" t="n">
        <x:f>C234-D234</x:f>
        <x:v>0</x:v>
      </x:c>
      <x:c r="F234" s="177" t="str">
        <x:f>IF(ABS(E234)&lt;0.000001,"PASS","偏离发布值")</x:f>
        <x:v>PASS</x:v>
      </x:c>
      <x:c r="G234" s="177" t="str">
        <x:v>jg2025，期末余额</x:v>
      </x:c>
      <x:c r="H234" s="184"/>
    </x:row>
    <x:row r="235">
      <x:c r="A235" s="177" t="str">
        <x:v>R9-ASSET-2024-12-31-C</x:v>
      </x:c>
      <x:c r="B235" s="177" t="str">
        <x:v>2024年末在建工程</x:v>
      </x:c>
      <x:c r="C235" s="230" t="n">
        <x:f>'研发与资产'!C71</x:f>
        <x:v>1.5885926147</x:v>
      </x:c>
      <x:c r="D235" s="230" t="n">
        <x:v>1.5885926147</x:v>
      </x:c>
      <x:c r="E235" s="230" t="n">
        <x:f>C235-D235</x:f>
        <x:v>0</x:v>
      </x:c>
      <x:c r="F235" s="177" t="str">
        <x:f>IF(ABS(E235)&lt;0.000001,"PASS","偏离发布值")</x:f>
        <x:v>PASS</x:v>
      </x:c>
      <x:c r="G235" s="177" t="str">
        <x:v>jg2025，期末余额</x:v>
      </x:c>
      <x:c r="H235" s="184"/>
    </x:row>
    <x:row r="236">
      <x:c r="A236" s="177" t="str">
        <x:v>R9-ASSET-2024-12-31-F</x:v>
      </x:c>
      <x:c r="B236" s="177" t="str">
        <x:v>2024年末存货账面余额</x:v>
      </x:c>
      <x:c r="C236" s="230" t="n">
        <x:f>'研发与资产'!F71</x:f>
        <x:v>3.9307437625</x:v>
      </x:c>
      <x:c r="D236" s="230" t="n">
        <x:v>3.9307437625</x:v>
      </x:c>
      <x:c r="E236" s="230" t="n">
        <x:f>C236-D236</x:f>
        <x:v>0</x:v>
      </x:c>
      <x:c r="F236" s="177" t="str">
        <x:f>IF(ABS(E236)&lt;0.000001,"PASS","偏离发布值")</x:f>
        <x:v>PASS</x:v>
      </x:c>
      <x:c r="G236" s="177" t="str">
        <x:v>jg2025，期末余额</x:v>
      </x:c>
      <x:c r="H236" s="184"/>
    </x:row>
    <x:row r="237">
      <x:c r="A237" s="177" t="str">
        <x:v>R9-ASSET-2024-12-31-G</x:v>
      </x:c>
      <x:c r="B237" s="177" t="str">
        <x:v>2024年末存货跌价准备</x:v>
      </x:c>
      <x:c r="C237" s="230" t="n">
        <x:f>'研发与资产'!G71</x:f>
        <x:v>0.7235555488</x:v>
      </x:c>
      <x:c r="D237" s="230" t="n">
        <x:v>0.7235555488</x:v>
      </x:c>
      <x:c r="E237" s="230" t="n">
        <x:f>C237-D237</x:f>
        <x:v>0</x:v>
      </x:c>
      <x:c r="F237" s="177" t="str">
        <x:f>IF(ABS(E237)&lt;0.000001,"PASS","偏离发布值")</x:f>
        <x:v>PASS</x:v>
      </x:c>
      <x:c r="G237" s="177" t="str">
        <x:v>jg2025，期末余额</x:v>
      </x:c>
      <x:c r="H237" s="184"/>
    </x:row>
    <x:row r="238">
      <x:c r="A238" s="177" t="str">
        <x:v>R9-ASSET-2024-12-31-H</x:v>
      </x:c>
      <x:c r="B238" s="177" t="str">
        <x:v>2024年末存货净额</x:v>
      </x:c>
      <x:c r="C238" s="230" t="n">
        <x:f>'研发与资产'!H71</x:f>
        <x:v>3.2071882137</x:v>
      </x:c>
      <x:c r="D238" s="230" t="n">
        <x:v>3.2071882137</x:v>
      </x:c>
      <x:c r="E238" s="230" t="n">
        <x:f>C238-D238</x:f>
        <x:v>0</x:v>
      </x:c>
      <x:c r="F238" s="177" t="str">
        <x:f>IF(ABS(E238)&lt;0.000001,"PASS","偏离发布值")</x:f>
        <x:v>PASS</x:v>
      </x:c>
      <x:c r="G238" s="177" t="str">
        <x:v>jg2025，期末余额</x:v>
      </x:c>
      <x:c r="H238" s="184"/>
    </x:row>
    <x:row r="239">
      <x:c r="A239" s="177" t="str">
        <x:v>R9-ASSET-2024-12-31-J</x:v>
      </x:c>
      <x:c r="B239" s="177" t="str">
        <x:v>2024年末应收账款</x:v>
      </x:c>
      <x:c r="C239" s="230" t="n">
        <x:f>'研发与资产'!J71</x:f>
        <x:v>1.4699668029</x:v>
      </x:c>
      <x:c r="D239" s="230" t="n">
        <x:v>1.4699668029</x:v>
      </x:c>
      <x:c r="E239" s="230" t="n">
        <x:f>C239-D239</x:f>
        <x:v>0</x:v>
      </x:c>
      <x:c r="F239" s="177" t="str">
        <x:f>IF(ABS(E239)&lt;0.000001,"PASS","偏离发布值")</x:f>
        <x:v>PASS</x:v>
      </x:c>
      <x:c r="G239" s="177" t="str">
        <x:v>jg2025，期末余额</x:v>
      </x:c>
      <x:c r="H239" s="184"/>
    </x:row>
    <x:row r="240">
      <x:c r="A240" s="177" t="str">
        <x:v>R9-ASSET-2024-12-31-K</x:v>
      </x:c>
      <x:c r="B240" s="177" t="str">
        <x:v>2024年末合同负债</x:v>
      </x:c>
      <x:c r="C240" s="230" t="n">
        <x:f>'研发与资产'!K71</x:f>
        <x:v>0.15529056789999998</x:v>
      </x:c>
      <x:c r="D240" s="230" t="n">
        <x:v>0.15529056789999998</x:v>
      </x:c>
      <x:c r="E240" s="230" t="n">
        <x:f>C240-D240</x:f>
        <x:v>0</x:v>
      </x:c>
      <x:c r="F240" s="177" t="str">
        <x:f>IF(ABS(E240)&lt;0.000001,"PASS","偏离发布值")</x:f>
        <x:v>PASS</x:v>
      </x:c>
      <x:c r="G240" s="177" t="str">
        <x:v>jg2025，期末余额</x:v>
      </x:c>
      <x:c r="H240" s="184"/>
    </x:row>
    <x:row r="241">
      <x:c r="A241" s="177" t="str">
        <x:v>R9-ASSET-2025-12-31-B</x:v>
      </x:c>
      <x:c r="B241" s="177" t="str">
        <x:v>2025年末固定资产净额</x:v>
      </x:c>
      <x:c r="C241" s="230" t="n">
        <x:f>'研发与资产'!B72</x:f>
        <x:v>6.740824173200001</x:v>
      </x:c>
      <x:c r="D241" s="230" t="n">
        <x:v>6.740824173200001</x:v>
      </x:c>
      <x:c r="E241" s="230" t="n">
        <x:f>C241-D241</x:f>
        <x:v>0</x:v>
      </x:c>
      <x:c r="F241" s="177" t="str">
        <x:f>IF(ABS(E241)&lt;0.000001,"PASS","偏离发布值")</x:f>
        <x:v>PASS</x:v>
      </x:c>
      <x:c r="G241" s="177" t="str">
        <x:v>jg2026h1，期末余额</x:v>
      </x:c>
      <x:c r="H241" s="184"/>
    </x:row>
    <x:row r="242">
      <x:c r="A242" s="177" t="str">
        <x:v>R9-ASSET-2025-12-31-C</x:v>
      </x:c>
      <x:c r="B242" s="177" t="str">
        <x:v>2025年末在建工程</x:v>
      </x:c>
      <x:c r="C242" s="230" t="n">
        <x:f>'研发与资产'!C72</x:f>
        <x:v>2.7877119032</x:v>
      </x:c>
      <x:c r="D242" s="230" t="n">
        <x:v>2.7877119032</x:v>
      </x:c>
      <x:c r="E242" s="230" t="n">
        <x:f>C242-D242</x:f>
        <x:v>0</x:v>
      </x:c>
      <x:c r="F242" s="177" t="str">
        <x:f>IF(ABS(E242)&lt;0.000001,"PASS","偏离发布值")</x:f>
        <x:v>PASS</x:v>
      </x:c>
      <x:c r="G242" s="177" t="str">
        <x:v>jg2026h1，期末余额</x:v>
      </x:c>
      <x:c r="H242" s="184"/>
    </x:row>
    <x:row r="243">
      <x:c r="A243" s="177" t="str">
        <x:v>R9-ASSET-2025-12-31-F</x:v>
      </x:c>
      <x:c r="B243" s="177" t="str">
        <x:v>2025年末存货账面余额</x:v>
      </x:c>
      <x:c r="C243" s="230" t="n">
        <x:f>'研发与资产'!F72</x:f>
        <x:v>3.6205053287999998</x:v>
      </x:c>
      <x:c r="D243" s="230" t="n">
        <x:v>3.6205053287999998</x:v>
      </x:c>
      <x:c r="E243" s="230" t="n">
        <x:f>C243-D243</x:f>
        <x:v>0</x:v>
      </x:c>
      <x:c r="F243" s="177" t="str">
        <x:f>IF(ABS(E243)&lt;0.000001,"PASS","偏离发布值")</x:f>
        <x:v>PASS</x:v>
      </x:c>
      <x:c r="G243" s="177" t="str">
        <x:v>jg2026h1，期末余额</x:v>
      </x:c>
      <x:c r="H243" s="184"/>
    </x:row>
    <x:row r="244">
      <x:c r="A244" s="177" t="str">
        <x:v>R9-ASSET-2025-12-31-G</x:v>
      </x:c>
      <x:c r="B244" s="177" t="str">
        <x:v>2025年末存货跌价准备</x:v>
      </x:c>
      <x:c r="C244" s="230" t="n">
        <x:f>'研发与资产'!G72</x:f>
        <x:v>0.7419777403</x:v>
      </x:c>
      <x:c r="D244" s="230" t="n">
        <x:v>0.7419777403</x:v>
      </x:c>
      <x:c r="E244" s="230" t="n">
        <x:f>C244-D244</x:f>
        <x:v>0</x:v>
      </x:c>
      <x:c r="F244" s="177" t="str">
        <x:f>IF(ABS(E244)&lt;0.000001,"PASS","偏离发布值")</x:f>
        <x:v>PASS</x:v>
      </x:c>
      <x:c r="G244" s="177" t="str">
        <x:v>jg2026h1，期末余额</x:v>
      </x:c>
      <x:c r="H244" s="184"/>
    </x:row>
    <x:row r="245">
      <x:c r="A245" s="177" t="str">
        <x:v>R9-ASSET-2025-12-31-H</x:v>
      </x:c>
      <x:c r="B245" s="177" t="str">
        <x:v>2025年末存货净额</x:v>
      </x:c>
      <x:c r="C245" s="230" t="n">
        <x:f>'研发与资产'!H72</x:f>
        <x:v>2.8785275885000003</x:v>
      </x:c>
      <x:c r="D245" s="230" t="n">
        <x:v>2.8785275885000003</x:v>
      </x:c>
      <x:c r="E245" s="230" t="n">
        <x:f>C245-D245</x:f>
        <x:v>0</x:v>
      </x:c>
      <x:c r="F245" s="177" t="str">
        <x:f>IF(ABS(E245)&lt;0.000001,"PASS","偏离发布值")</x:f>
        <x:v>PASS</x:v>
      </x:c>
      <x:c r="G245" s="177" t="str">
        <x:v>jg2026h1，期末余额</x:v>
      </x:c>
      <x:c r="H245" s="184"/>
    </x:row>
    <x:row r="246">
      <x:c r="A246" s="177" t="str">
        <x:v>R9-ASSET-2025-12-31-J</x:v>
      </x:c>
      <x:c r="B246" s="177" t="str">
        <x:v>2025年末应收账款</x:v>
      </x:c>
      <x:c r="C246" s="230" t="n">
        <x:f>'研发与资产'!J72</x:f>
        <x:v>2.0623988096</x:v>
      </x:c>
      <x:c r="D246" s="230" t="n">
        <x:v>2.0623988096</x:v>
      </x:c>
      <x:c r="E246" s="230" t="n">
        <x:f>C246-D246</x:f>
        <x:v>0</x:v>
      </x:c>
      <x:c r="F246" s="177" t="str">
        <x:f>IF(ABS(E246)&lt;0.000001,"PASS","偏离发布值")</x:f>
        <x:v>PASS</x:v>
      </x:c>
      <x:c r="G246" s="177" t="str">
        <x:v>jg2026h1，期末余额</x:v>
      </x:c>
      <x:c r="H246" s="184"/>
    </x:row>
    <x:row r="247">
      <x:c r="A247" s="177" t="str">
        <x:v>R9-ASSET-2025-12-31-K</x:v>
      </x:c>
      <x:c r="B247" s="177" t="str">
        <x:v>2025年末合同负债</x:v>
      </x:c>
      <x:c r="C247" s="230" t="n">
        <x:f>'研发与资产'!K72</x:f>
        <x:v>0.39232675520000004</x:v>
      </x:c>
      <x:c r="D247" s="230" t="n">
        <x:v>0.39232675520000004</x:v>
      </x:c>
      <x:c r="E247" s="230" t="n">
        <x:f>C247-D247</x:f>
        <x:v>0</x:v>
      </x:c>
      <x:c r="F247" s="177" t="str">
        <x:f>IF(ABS(E247)&lt;0.000001,"PASS","偏离发布值")</x:f>
        <x:v>PASS</x:v>
      </x:c>
      <x:c r="G247" s="177" t="str">
        <x:v>jg2026h1，期末余额</x:v>
      </x:c>
      <x:c r="H247" s="184"/>
    </x:row>
    <x:row r="248">
      <x:c r="A248" s="177" t="str">
        <x:v>R9-ASSET-2026-06-30-B</x:v>
      </x:c>
      <x:c r="B248" s="177" t="str">
        <x:v>2026年6月末固定资产净额</x:v>
      </x:c>
      <x:c r="C248" s="230" t="n">
        <x:f>'研发与资产'!B73</x:f>
        <x:v>6.5003779427</x:v>
      </x:c>
      <x:c r="D248" s="230" t="n">
        <x:v>6.5003779427</x:v>
      </x:c>
      <x:c r="E248" s="230" t="n">
        <x:f>C248-D248</x:f>
        <x:v>0</x:v>
      </x:c>
      <x:c r="F248" s="177" t="str">
        <x:f>IF(ABS(E248)&lt;0.000001,"PASS","偏离发布值")</x:f>
        <x:v>PASS</x:v>
      </x:c>
      <x:c r="G248" s="177" t="str">
        <x:v>jg2026h1，期末余额</x:v>
      </x:c>
      <x:c r="H248" s="184"/>
    </x:row>
    <x:row r="249">
      <x:c r="A249" s="177" t="str">
        <x:v>R9-ASSET-2026-06-30-C</x:v>
      </x:c>
      <x:c r="B249" s="177" t="str">
        <x:v>2026年6月末在建工程</x:v>
      </x:c>
      <x:c r="C249" s="230" t="n">
        <x:f>'研发与资产'!C73</x:f>
        <x:v>3.8023646283</x:v>
      </x:c>
      <x:c r="D249" s="230" t="n">
        <x:v>3.8023646283</x:v>
      </x:c>
      <x:c r="E249" s="230" t="n">
        <x:f>C249-D249</x:f>
        <x:v>0</x:v>
      </x:c>
      <x:c r="F249" s="177" t="str">
        <x:f>IF(ABS(E249)&lt;0.000001,"PASS","偏离发布值")</x:f>
        <x:v>PASS</x:v>
      </x:c>
      <x:c r="G249" s="177" t="str">
        <x:v>jg2026h1，期末余额</x:v>
      </x:c>
      <x:c r="H249" s="184"/>
    </x:row>
    <x:row r="250">
      <x:c r="A250" s="177" t="str">
        <x:v>R9-ASSET-2026-06-30-F</x:v>
      </x:c>
      <x:c r="B250" s="177" t="str">
        <x:v>2026年6月末存货账面余额</x:v>
      </x:c>
      <x:c r="C250" s="230" t="n">
        <x:f>'研发与资产'!F73</x:f>
        <x:v>3.8354068198</x:v>
      </x:c>
      <x:c r="D250" s="230" t="n">
        <x:v>3.8354068198</x:v>
      </x:c>
      <x:c r="E250" s="230" t="n">
        <x:f>C250-D250</x:f>
        <x:v>0</x:v>
      </x:c>
      <x:c r="F250" s="177" t="str">
        <x:f>IF(ABS(E250)&lt;0.000001,"PASS","偏离发布值")</x:f>
        <x:v>PASS</x:v>
      </x:c>
      <x:c r="G250" s="177" t="str">
        <x:v>jg2026h1，期末余额</x:v>
      </x:c>
      <x:c r="H250" s="184"/>
    </x:row>
    <x:row r="251">
      <x:c r="A251" s="177" t="str">
        <x:v>R9-ASSET-2026-06-30-G</x:v>
      </x:c>
      <x:c r="B251" s="177" t="str">
        <x:v>2026年6月末存货跌价准备</x:v>
      </x:c>
      <x:c r="C251" s="230" t="n">
        <x:f>'研发与资产'!G73</x:f>
        <x:v>0.9113301309999999</x:v>
      </x:c>
      <x:c r="D251" s="230" t="n">
        <x:v>0.9113301309999999</x:v>
      </x:c>
      <x:c r="E251" s="230" t="n">
        <x:f>C251-D251</x:f>
        <x:v>0</x:v>
      </x:c>
      <x:c r="F251" s="177" t="str">
        <x:f>IF(ABS(E251)&lt;0.000001,"PASS","偏离发布值")</x:f>
        <x:v>PASS</x:v>
      </x:c>
      <x:c r="G251" s="177" t="str">
        <x:v>jg2026h1，期末余额</x:v>
      </x:c>
      <x:c r="H251" s="184"/>
    </x:row>
    <x:row r="252">
      <x:c r="A252" s="177" t="str">
        <x:v>R9-ASSET-2026-06-30-H</x:v>
      </x:c>
      <x:c r="B252" s="177" t="str">
        <x:v>2026年6月末存货净额</x:v>
      </x:c>
      <x:c r="C252" s="230" t="n">
        <x:f>'研发与资产'!H73</x:f>
        <x:v>2.9240766888</x:v>
      </x:c>
      <x:c r="D252" s="230" t="n">
        <x:v>2.9240766888</x:v>
      </x:c>
      <x:c r="E252" s="230" t="n">
        <x:f>C252-D252</x:f>
        <x:v>0</x:v>
      </x:c>
      <x:c r="F252" s="177" t="str">
        <x:f>IF(ABS(E252)&lt;0.000001,"PASS","偏离发布值")</x:f>
        <x:v>PASS</x:v>
      </x:c>
      <x:c r="G252" s="177" t="str">
        <x:v>jg2026h1，期末余额</x:v>
      </x:c>
      <x:c r="H252" s="184"/>
    </x:row>
    <x:row r="253">
      <x:c r="A253" s="177" t="str">
        <x:v>R9-ASSET-2026-06-30-J</x:v>
      </x:c>
      <x:c r="B253" s="177" t="str">
        <x:v>2026年6月末应收账款</x:v>
      </x:c>
      <x:c r="C253" s="230" t="n">
        <x:f>'研发与资产'!J73</x:f>
        <x:v>2.022097547</x:v>
      </x:c>
      <x:c r="D253" s="230" t="n">
        <x:v>2.022097547</x:v>
      </x:c>
      <x:c r="E253" s="230" t="n">
        <x:f>C253-D253</x:f>
        <x:v>0</x:v>
      </x:c>
      <x:c r="F253" s="177" t="str">
        <x:f>IF(ABS(E253)&lt;0.000001,"PASS","偏离发布值")</x:f>
        <x:v>PASS</x:v>
      </x:c>
      <x:c r="G253" s="177" t="str">
        <x:v>jg2026h1，期末余额</x:v>
      </x:c>
      <x:c r="H253" s="184"/>
    </x:row>
    <x:row r="254">
      <x:c r="A254" s="177" t="str">
        <x:v>R9-ASSET-2026-06-30-K</x:v>
      </x:c>
      <x:c r="B254" s="177" t="str">
        <x:v>2026年6月末合同负债</x:v>
      </x:c>
      <x:c r="C254" s="230" t="n">
        <x:f>'研发与资产'!K73</x:f>
        <x:v>0.2804780138</x:v>
      </x:c>
      <x:c r="D254" s="230" t="n">
        <x:v>0.2804780138</x:v>
      </x:c>
      <x:c r="E254" s="230" t="n">
        <x:f>C254-D254</x:f>
        <x:v>0</x:v>
      </x:c>
      <x:c r="F254" s="177" t="str">
        <x:f>IF(ABS(E254)&lt;0.000001,"PASS","偏离发布值")</x:f>
        <x:v>PASS</x:v>
      </x:c>
      <x:c r="G254" s="177" t="str">
        <x:v>jg2026h1，期末余额</x:v>
      </x:c>
      <x:c r="H254" s="184"/>
    </x:row>
    <x:row r="255">
      <x:c r="A255" s="177" t="str">
        <x:v>R9-ACTUAL-2025A-revenue</x:v>
      </x:c>
      <x:c r="B255" s="177" t="str">
        <x:v>2025A营业收入</x:v>
      </x:c>
      <x:c r="C255" s="230" t="n">
        <x:f>'公司业绩全览'!B27</x:f>
        <x:v>8.7999932916</x:v>
      </x:c>
      <x:c r="D255" s="230" t="n">
        <x:v>8.7999932916</x:v>
      </x:c>
      <x:c r="E255" s="230" t="n">
        <x:f>C255-D255</x:f>
        <x:v>0</x:v>
      </x:c>
      <x:c r="F255" s="177" t="str">
        <x:f>IF(ABS(E255)&lt;0.000001,"PASS","偏离发布值")</x:f>
        <x:v>PASS</x:v>
      </x:c>
      <x:c r="G255" s="177" t="str">
        <x:v>jg2025；未重述实际值</x:v>
      </x:c>
      <x:c r="H255" s="184"/>
    </x:row>
    <x:row r="256">
      <x:c r="A256" s="177" t="str">
        <x:v>R9-ACTUAL-2025A-grossProfit</x:v>
      </x:c>
      <x:c r="B256" s="177" t="str">
        <x:v>2025A毛利润</x:v>
      </x:c>
      <x:c r="C256" s="230" t="n">
        <x:f>'公司业绩全览'!B29</x:f>
        <x:v>3.1488706846999994</x:v>
      </x:c>
      <x:c r="D256" s="230" t="n">
        <x:v>3.148870684699999</x:v>
      </x:c>
      <x:c r="E256" s="230" t="n">
        <x:f>C256-D256</x:f>
        <x:v>4.440892098500626e-16</x:v>
      </x:c>
      <x:c r="F256" s="177" t="str">
        <x:f>IF(ABS(E256)&lt;0.000001,"PASS","偏离发布值")</x:f>
        <x:v>PASS</x:v>
      </x:c>
      <x:c r="G256" s="177" t="str">
        <x:v>jg2025；未重述实际值</x:v>
      </x:c>
      <x:c r="H256" s="184"/>
    </x:row>
    <x:row r="257">
      <x:c r="A257" s="177" t="str">
        <x:v>R9-ACTUAL-2025A-research</x:v>
      </x:c>
      <x:c r="B257" s="177" t="str">
        <x:v>2025A研发费用</x:v>
      </x:c>
      <x:c r="C257" s="230" t="n">
        <x:f>'公司业绩全览'!B33</x:f>
        <x:v>1.7122609469999999</x:v>
      </x:c>
      <x:c r="D257" s="230" t="n">
        <x:v>1.7122609469999999</x:v>
      </x:c>
      <x:c r="E257" s="230" t="n">
        <x:f>C257-D257</x:f>
        <x:v>0</x:v>
      </x:c>
      <x:c r="F257" s="177" t="str">
        <x:f>IF(ABS(E257)&lt;0.000001,"PASS","偏离发布值")</x:f>
        <x:v>PASS</x:v>
      </x:c>
      <x:c r="G257" s="177" t="str">
        <x:v>jg2025；未重述实际值</x:v>
      </x:c>
      <x:c r="H257" s="184"/>
    </x:row>
    <x:row r="258">
      <x:c r="A258" s="177" t="str">
        <x:v>R9-ACTUAL-2025A-preTaxProfit</x:v>
      </x:c>
      <x:c r="B258" s="177" t="str">
        <x:v>2025A利润总额</x:v>
      </x:c>
      <x:c r="C258" s="230" t="n">
        <x:f>'公司业绩全览'!B38</x:f>
        <x:v>-0.6450380934000004</x:v>
      </x:c>
      <x:c r="D258" s="230" t="n">
        <x:v>-0.6450380934000001</x:v>
      </x:c>
      <x:c r="E258" s="230" t="n">
        <x:f>C258-D258</x:f>
        <x:v>-3.3306690738754696e-16</x:v>
      </x:c>
      <x:c r="F258" s="177" t="str">
        <x:f>IF(ABS(E258)&lt;0.000001,"PASS","偏离发布值")</x:f>
        <x:v>PASS</x:v>
      </x:c>
      <x:c r="G258" s="177" t="str">
        <x:v>jg2025；未重述实际值</x:v>
      </x:c>
      <x:c r="H258" s="184"/>
    </x:row>
    <x:row r="259">
      <x:c r="A259" s="177" t="str">
        <x:v>R9-ACTUAL-2025A-parentNetProfit</x:v>
      </x:c>
      <x:c r="B259" s="177" t="str">
        <x:v>2025A归母净利润</x:v>
      </x:c>
      <x:c r="C259" s="230" t="n">
        <x:f>'公司业绩全览'!B40</x:f>
        <x:v>-0.3840957427000004</x:v>
      </x:c>
      <x:c r="D259" s="230" t="n">
        <x:v>-0.3840957427</x:v>
      </x:c>
      <x:c r="E259" s="230" t="n">
        <x:f>C259-D259</x:f>
        <x:v>-3.885780586188048e-16</x:v>
      </x:c>
      <x:c r="F259" s="177" t="str">
        <x:f>IF(ABS(E259)&lt;0.000001,"PASS","偏离发布值")</x:f>
        <x:v>PASS</x:v>
      </x:c>
      <x:c r="G259" s="177" t="str">
        <x:v>jg2025；未重述实际值</x:v>
      </x:c>
      <x:c r="H259" s="184"/>
    </x:row>
    <x:row r="260">
      <x:c r="A260" s="177" t="str">
        <x:v>R9-ACTUAL-2026H1-revenue</x:v>
      </x:c>
      <x:c r="B260" s="177" t="str">
        <x:v>2026H1营业收入</x:v>
      </x:c>
      <x:c r="C260" s="230" t="n">
        <x:f>'公司业绩全览'!C27</x:f>
        <x:v>4.1856510076</x:v>
      </x:c>
      <x:c r="D260" s="230" t="n">
        <x:v>4.1856510076</x:v>
      </x:c>
      <x:c r="E260" s="230" t="n">
        <x:f>C260-D260</x:f>
        <x:v>0</x:v>
      </x:c>
      <x:c r="F260" s="177" t="str">
        <x:f>IF(ABS(E260)&lt;0.000001,"PASS","偏离发布值")</x:f>
        <x:v>PASS</x:v>
      </x:c>
      <x:c r="G260" s="177" t="str">
        <x:v>jg2026h1；未重述实际值</x:v>
      </x:c>
      <x:c r="H260" s="184"/>
    </x:row>
    <x:row r="261">
      <x:c r="A261" s="177" t="str">
        <x:v>R9-ACTUAL-2026H1-grossProfit</x:v>
      </x:c>
      <x:c r="B261" s="177" t="str">
        <x:v>2026H1毛利润</x:v>
      </x:c>
      <x:c r="C261" s="230" t="n">
        <x:f>'公司业绩全览'!C29</x:f>
        <x:v>1.8139376472</x:v>
      </x:c>
      <x:c r="D261" s="230" t="n">
        <x:v>1.8139376472</x:v>
      </x:c>
      <x:c r="E261" s="230" t="n">
        <x:f>C261-D261</x:f>
        <x:v>0</x:v>
      </x:c>
      <x:c r="F261" s="177" t="str">
        <x:f>IF(ABS(E261)&lt;0.000001,"PASS","偏离发布值")</x:f>
        <x:v>PASS</x:v>
      </x:c>
      <x:c r="G261" s="177" t="str">
        <x:v>jg2026h1；未重述实际值</x:v>
      </x:c>
      <x:c r="H261" s="184"/>
    </x:row>
    <x:row r="262">
      <x:c r="A262" s="177" t="str">
        <x:v>R9-ACTUAL-2026H1-research</x:v>
      </x:c>
      <x:c r="B262" s="177" t="str">
        <x:v>2026H1研发费用</x:v>
      </x:c>
      <x:c r="C262" s="230" t="n">
        <x:f>'公司业绩全览'!C33</x:f>
        <x:v>0.8908166665</x:v>
      </x:c>
      <x:c r="D262" s="230" t="n">
        <x:v>0.8908166665</x:v>
      </x:c>
      <x:c r="E262" s="230" t="n">
        <x:f>C262-D262</x:f>
        <x:v>0</x:v>
      </x:c>
      <x:c r="F262" s="177" t="str">
        <x:f>IF(ABS(E262)&lt;0.000001,"PASS","偏离发布值")</x:f>
        <x:v>PASS</x:v>
      </x:c>
      <x:c r="G262" s="177" t="str">
        <x:v>jg2026h1；未重述实际值</x:v>
      </x:c>
      <x:c r="H262" s="184"/>
    </x:row>
    <x:row r="263">
      <x:c r="A263" s="177" t="str">
        <x:v>R9-ACTUAL-2026H1-preTaxProfit</x:v>
      </x:c>
      <x:c r="B263" s="177" t="str">
        <x:v>2026H1利润总额</x:v>
      </x:c>
      <x:c r="C263" s="230" t="n">
        <x:f>'公司业绩全览'!C38</x:f>
        <x:v>-0.7390827258999998</x:v>
      </x:c>
      <x:c r="D263" s="230" t="n">
        <x:v>-0.7390827259</x:v>
      </x:c>
      <x:c r="E263" s="230" t="n">
        <x:f>C263-D263</x:f>
        <x:v>2.220446049250313e-16</x:v>
      </x:c>
      <x:c r="F263" s="177" t="str">
        <x:f>IF(ABS(E263)&lt;0.000001,"PASS","偏离发布值")</x:f>
        <x:v>PASS</x:v>
      </x:c>
      <x:c r="G263" s="177" t="str">
        <x:v>jg2026h1；未重述实际值</x:v>
      </x:c>
      <x:c r="H263" s="184"/>
    </x:row>
    <x:row r="264">
      <x:c r="A264" s="177" t="str">
        <x:v>R9-ACTUAL-2026H1-parentNetProfit</x:v>
      </x:c>
      <x:c r="B264" s="177" t="str">
        <x:v>2026H1归母净利润</x:v>
      </x:c>
      <x:c r="C264" s="230" t="n">
        <x:f>'公司业绩全览'!C40</x:f>
        <x:v>-0.6722878031999998</x:v>
      </x:c>
      <x:c r="D264" s="230" t="n">
        <x:v>-0.6722878031999999</x:v>
      </x:c>
      <x:c r="E264" s="230" t="n">
        <x:f>C264-D264</x:f>
        <x:v>1.1102230246251565e-16</x:v>
      </x:c>
      <x:c r="F264" s="177" t="str">
        <x:f>IF(ABS(E264)&lt;0.000001,"PASS","偏离发布值")</x:f>
        <x:v>PASS</x:v>
      </x:c>
      <x:c r="G264" s="177" t="str">
        <x:v>jg2026h1；未重述实际值</x:v>
      </x:c>
      <x:c r="H264" s="184"/>
    </x:row>
    <x:row r="265">
      <x:c r="A265" s="177" t="str">
        <x:v>R11-MARKET-CAP</x:v>
      </x:c>
      <x:c r="B265" s="177" t="str">
        <x:v>当前总市值</x:v>
      </x:c>
      <x:c r="C265" s="230" t="n">
        <x:f>'同业估值'!D32</x:f>
        <x:v>369.8289277878</x:v>
      </x:c>
      <x:c r="D265" s="230" t="n">
        <x:v>369.8289277878</x:v>
      </x:c>
      <x:c r="E265" s="230" t="n">
        <x:f>C265-D265</x:f>
        <x:v>0</x:v>
      </x:c>
      <x:c r="F265" s="177" t="str">
        <x:f>IF(ABS(E265)&lt;0.000001,"PASS","偏离发布值")</x:f>
        <x:v>PASS</x:v>
      </x:c>
      <x:c r="G265" s="177" t="str">
        <x:v>截至2026年9月3日的股价×当期总股本</x:v>
      </x:c>
      <x:c r="H265" s="184"/>
    </x:row>
    <x:row r="266">
      <x:c r="A266" s="177" t="str">
        <x:v>R11-base-EPS-2026</x:v>
      </x:c>
      <x:c r="B266" s="177" t="str">
        <x:v>base2026每股收益</x:v>
      </x:c>
      <x:c r="C266" s="230" t="n">
        <x:f>'同业估值'!F5</x:f>
        <x:v>0.6325475482666915</x:v>
      </x:c>
      <x:c r="D266" s="230" t="n">
        <x:v>0.6325475482666904</x:v>
      </x:c>
      <x:c r="E266" s="230" t="n">
        <x:f>C266-D266</x:f>
        <x:v>1.1102230246251565e-15</x:v>
      </x:c>
      <x:c r="F266" s="177" t="str">
        <x:f>IF(ABS(E266)&lt;0.000001,"PASS","偏离发布值")</x:f>
        <x:v>PASS</x:v>
      </x:c>
      <x:c r="G266" s="177" t="str">
        <x:v>本报告归母净利润÷当期股数</x:v>
      </x:c>
      <x:c r="H266" s="184"/>
    </x:row>
    <x:row r="267">
      <x:c r="A267" s="177" t="str">
        <x:v>R11-base-PE-2026</x:v>
      </x:c>
      <x:c r="B267" s="177" t="str">
        <x:v>base2026当前市盈率</x:v>
      </x:c>
      <x:c r="C267" s="230" t="n">
        <x:f>'同业估值'!G5</x:f>
        <x:v>449.2626693103322</x:v>
      </x:c>
      <x:c r="D267" s="230" t="n">
        <x:v>449.262669310333</x:v>
      </x:c>
      <x:c r="E267" s="230" t="n">
        <x:f>C267-D267</x:f>
        <x:v>-7.958078640513122e-13</x:v>
      </x:c>
      <x:c r="F267" s="177" t="str">
        <x:f>IF(ABS(E267)&lt;0.000001,"PASS","偏离发布值")</x:f>
        <x:v>PASS</x:v>
      </x:c>
      <x:c r="G267" s="177" t="str">
        <x:v>固定市值÷本报告归母净利润</x:v>
      </x:c>
      <x:c r="H267" s="184"/>
    </x:row>
    <x:row r="268">
      <x:c r="A268" s="177" t="str">
        <x:v>R11-base-EPS-2027</x:v>
      </x:c>
      <x:c r="B268" s="177" t="str">
        <x:v>base2027每股收益</x:v>
      </x:c>
      <x:c r="C268" s="230" t="n">
        <x:f>'同业估值'!F6</x:f>
        <x:v>6.4954596508220455</x:v>
      </x:c>
      <x:c r="D268" s="230" t="n">
        <x:v>6.495459650822043</x:v>
      </x:c>
      <x:c r="E268" s="230" t="n">
        <x:f>C268-D268</x:f>
        <x:v>2.6645352591003757e-15</x:v>
      </x:c>
      <x:c r="F268" s="177" t="str">
        <x:f>IF(ABS(E268)&lt;0.000001,"PASS","偏离发布值")</x:f>
        <x:v>PASS</x:v>
      </x:c>
      <x:c r="G268" s="177" t="str">
        <x:v>本报告归母净利润÷当期股数</x:v>
      </x:c>
      <x:c r="H268" s="184"/>
    </x:row>
    <x:row r="269">
      <x:c r="A269" s="177" t="str">
        <x:v>R11-base-PE-2027</x:v>
      </x:c>
      <x:c r="B269" s="177" t="str">
        <x:v>base2027当前市盈率</x:v>
      </x:c>
      <x:c r="C269" s="230" t="n">
        <x:f>'同业估值'!G6</x:f>
        <x:v>43.75056043401564</x:v>
      </x:c>
      <x:c r="D269" s="230" t="n">
        <x:v>43.750560434015654</x:v>
      </x:c>
      <x:c r="E269" s="230" t="n">
        <x:f>C269-D269</x:f>
        <x:v>-1.4210854715202004e-14</x:v>
      </x:c>
      <x:c r="F269" s="177" t="str">
        <x:f>IF(ABS(E269)&lt;0.000001,"PASS","偏离发布值")</x:f>
        <x:v>PASS</x:v>
      </x:c>
      <x:c r="G269" s="177" t="str">
        <x:v>固定市值÷本报告归母净利润</x:v>
      </x:c>
      <x:c r="H269" s="184"/>
    </x:row>
    <x:row r="270">
      <x:c r="A270" s="177" t="str">
        <x:v>R11-base-EPS-2028</x:v>
      </x:c>
      <x:c r="B270" s="177" t="str">
        <x:v>base2028每股收益</x:v>
      </x:c>
      <x:c r="C270" s="230" t="n">
        <x:f>'同业估值'!F7</x:f>
        <x:v>23.85156560352732</x:v>
      </x:c>
      <x:c r="D270" s="230" t="n">
        <x:v>23.85156560352732</x:v>
      </x:c>
      <x:c r="E270" s="230" t="n">
        <x:f>C270-D270</x:f>
        <x:v>0</x:v>
      </x:c>
      <x:c r="F270" s="177" t="str">
        <x:f>IF(ABS(E270)&lt;0.000001,"PASS","偏离发布值")</x:f>
        <x:v>PASS</x:v>
      </x:c>
      <x:c r="G270" s="177" t="str">
        <x:v>本报告归母净利润÷当期股数</x:v>
      </x:c>
      <x:c r="H270" s="184"/>
    </x:row>
    <x:row r="271">
      <x:c r="A271" s="177" t="str">
        <x:v>R11-base-PE-2028</x:v>
      </x:c>
      <x:c r="B271" s="177" t="str">
        <x:v>base2028当前市盈率</x:v>
      </x:c>
      <x:c r="C271" s="230" t="n">
        <x:f>'同业估值'!G7</x:f>
        <x:v>11.914521869288683</x:v>
      </x:c>
      <x:c r="D271" s="230" t="n">
        <x:v>11.914521869288683</x:v>
      </x:c>
      <x:c r="E271" s="230" t="n">
        <x:f>C271-D271</x:f>
        <x:v>0</x:v>
      </x:c>
      <x:c r="F271" s="177" t="str">
        <x:f>IF(ABS(E271)&lt;0.000001,"PASS","偏离发布值")</x:f>
        <x:v>PASS</x:v>
      </x:c>
      <x:c r="G271" s="177" t="str">
        <x:v>固定市值÷本报告归母净利润</x:v>
      </x:c>
      <x:c r="H271" s="184"/>
    </x:row>
    <x:row r="272">
      <x:c r="A272" s="177" t="str">
        <x:v>R9-OE-cautious-2026-marketSpace</x:v>
      </x:c>
      <x:c r="B272" s="177" t="str">
        <x:v>cautious2026光引擎法marketSpace</x:v>
      </x:c>
      <x:c r="C272" s="230" t="n">
        <x:f>'光引擎参考'!H33</x:f>
        <x:v>35.5270784</x:v>
      </x:c>
      <x:c r="D272" s="230" t="n">
        <x:v>35.5270784</x:v>
      </x:c>
      <x:c r="E272" s="230" t="n">
        <x:f>C272-D272</x:f>
        <x:v>0</x:v>
      </x:c>
      <x:c r="F272" s="177" t="str">
        <x:f>IF(ABS(E272)&lt;0.000001,"PASS","偏离发布值")</x:f>
        <x:v>PASS</x:v>
      </x:c>
      <x:c r="G272" s="177" t="str">
        <x:v>独立光引擎参考口径，不计入主预测</x:v>
      </x:c>
      <x:c r="H272" s="184"/>
    </x:row>
    <x:row r="273">
      <x:c r="A273" s="177" t="str">
        <x:v>R9-OE-cautious-2026-revenue</x:v>
      </x:c>
      <x:c r="B273" s="177" t="str">
        <x:v>cautious2026光引擎法revenue</x:v>
      </x:c>
      <x:c r="C273" s="230" t="n">
        <x:f>'光引擎参考'!I33</x:f>
        <x:v>4.628985920000001</x:v>
      </x:c>
      <x:c r="D273" s="230" t="n">
        <x:v>4.628985920000001</x:v>
      </x:c>
      <x:c r="E273" s="230" t="n">
        <x:f>C273-D273</x:f>
        <x:v>0</x:v>
      </x:c>
      <x:c r="F273" s="177" t="str">
        <x:f>IF(ABS(E273)&lt;0.000001,"PASS","偏离发布值")</x:f>
        <x:v>PASS</x:v>
      </x:c>
      <x:c r="G273" s="177" t="str">
        <x:v>独立光引擎参考口径，不计入主预测</x:v>
      </x:c>
      <x:c r="H273" s="184"/>
    </x:row>
    <x:row r="274">
      <x:c r="A274" s="177" t="str">
        <x:v>R9-OE-cautious-2026-realizedRevenue</x:v>
      </x:c>
      <x:c r="B274" s="177" t="str">
        <x:v>cautious2026光引擎法realizedRevenue</x:v>
      </x:c>
      <x:c r="C274" s="230" t="n">
        <x:f>'光引擎参考'!K33</x:f>
        <x:v>2.8434633600000003</x:v>
      </x:c>
      <x:c r="D274" s="230" t="n">
        <x:v>2.8434633600000003</x:v>
      </x:c>
      <x:c r="E274" s="230" t="n">
        <x:f>C274-D274</x:f>
        <x:v>0</x:v>
      </x:c>
      <x:c r="F274" s="177" t="str">
        <x:f>IF(ABS(E274)&lt;0.000001,"PASS","偏离发布值")</x:f>
        <x:v>PASS</x:v>
      </x:c>
      <x:c r="G274" s="177" t="str">
        <x:v>独立光引擎参考口径，不计入主预测</x:v>
      </x:c>
      <x:c r="H274" s="184"/>
    </x:row>
    <x:row r="275">
      <x:c r="A275" s="177" t="str">
        <x:v>R9-OE-cautious-2026-realizedBusinessProfit</x:v>
      </x:c>
      <x:c r="B275" s="177" t="str">
        <x:v>cautious2026光引擎法realizedBusinessProfit</x:v>
      </x:c>
      <x:c r="C275" s="230" t="n">
        <x:f>'光引擎参考'!L33</x:f>
        <x:v>0.9383429088000002</x:v>
      </x:c>
      <x:c r="D275" s="230" t="n">
        <x:v>0.9383429088000002</x:v>
      </x:c>
      <x:c r="E275" s="230" t="n">
        <x:f>C275-D275</x:f>
        <x:v>0</x:v>
      </x:c>
      <x:c r="F275" s="177" t="str">
        <x:f>IF(ABS(E275)&lt;0.000001,"PASS","偏离发布值")</x:f>
        <x:v>PASS</x:v>
      </x:c>
      <x:c r="G275" s="177" t="str">
        <x:v>独立光引擎参考口径，不计入主预测</x:v>
      </x:c>
      <x:c r="H275" s="184"/>
    </x:row>
    <x:row r="276">
      <x:c r="A276" s="177" t="str">
        <x:v>R9-OE-cautious-2027-marketSpace</x:v>
      </x:c>
      <x:c r="B276" s="177" t="str">
        <x:v>cautious2027光引擎法marketSpace</x:v>
      </x:c>
      <x:c r="C276" s="230" t="n">
        <x:f>'光引擎参考'!H41</x:f>
        <x:v>88.036392</x:v>
      </x:c>
      <x:c r="D276" s="230" t="n">
        <x:v>88.03639199999999</x:v>
      </x:c>
      <x:c r="E276" s="230" t="n">
        <x:f>C276-D276</x:f>
        <x:v>1.4210854715202004e-14</x:v>
      </x:c>
      <x:c r="F276" s="177" t="str">
        <x:f>IF(ABS(E276)&lt;0.000001,"PASS","偏离发布值")</x:f>
        <x:v>PASS</x:v>
      </x:c>
      <x:c r="G276" s="177" t="str">
        <x:v>独立光引擎参考口径，不计入主预测</x:v>
      </x:c>
      <x:c r="H276" s="184"/>
    </x:row>
    <x:row r="277">
      <x:c r="A277" s="177" t="str">
        <x:v>R9-OE-cautious-2027-revenue</x:v>
      </x:c>
      <x:c r="B277" s="177" t="str">
        <x:v>cautious2027光引擎法revenue</x:v>
      </x:c>
      <x:c r="C277" s="230" t="n">
        <x:f>'光引擎参考'!I41</x:f>
        <x:v>23.536165333333333</x:v>
      </x:c>
      <x:c r="D277" s="230" t="n">
        <x:v>23.53616533333333</x:v>
      </x:c>
      <x:c r="E277" s="230" t="n">
        <x:f>C277-D277</x:f>
        <x:v>3.552713678800501e-15</x:v>
      </x:c>
      <x:c r="F277" s="177" t="str">
        <x:f>IF(ABS(E277)&lt;0.000001,"PASS","偏离发布值")</x:f>
        <x:v>PASS</x:v>
      </x:c>
      <x:c r="G277" s="177" t="str">
        <x:v>独立光引擎参考口径，不计入主预测</x:v>
      </x:c>
      <x:c r="H277" s="184"/>
    </x:row>
    <x:row r="278">
      <x:c r="A278" s="177" t="str">
        <x:v>R9-OE-cautious-2027-realizedRevenue</x:v>
      </x:c>
      <x:c r="B278" s="177" t="str">
        <x:v>cautious2027光引擎法realizedRevenue</x:v>
      </x:c>
      <x:c r="C278" s="230" t="n">
        <x:f>'光引擎参考'!K41</x:f>
        <x:v>17.819186666666667</x:v>
      </x:c>
      <x:c r="D278" s="230" t="n">
        <x:v>17.819186666666663</x:v>
      </x:c>
      <x:c r="E278" s="230" t="n">
        <x:f>C278-D278</x:f>
        <x:v>3.552713678800501e-15</x:v>
      </x:c>
      <x:c r="F278" s="177" t="str">
        <x:f>IF(ABS(E278)&lt;0.000001,"PASS","偏离发布值")</x:f>
        <x:v>PASS</x:v>
      </x:c>
      <x:c r="G278" s="177" t="str">
        <x:v>独立光引擎参考口径，不计入主预测</x:v>
      </x:c>
      <x:c r="H278" s="184"/>
    </x:row>
    <x:row r="279">
      <x:c r="A279" s="177" t="str">
        <x:v>R9-OE-cautious-2027-realizedBusinessProfit</x:v>
      </x:c>
      <x:c r="B279" s="177" t="str">
        <x:v>cautious2027光引擎法realizedBusinessProfit</x:v>
      </x:c>
      <x:c r="C279" s="230" t="n">
        <x:f>'光引擎参考'!L41</x:f>
        <x:v>5.8803316</x:v>
      </x:c>
      <x:c r="D279" s="230" t="n">
        <x:v>5.880331599999999</x:v>
      </x:c>
      <x:c r="E279" s="230" t="n">
        <x:f>C279-D279</x:f>
        <x:v>8.881784197001252e-16</x:v>
      </x:c>
      <x:c r="F279" s="177" t="str">
        <x:f>IF(ABS(E279)&lt;0.000001,"PASS","偏离发布值")</x:f>
        <x:v>PASS</x:v>
      </x:c>
      <x:c r="G279" s="177" t="str">
        <x:v>独立光引擎参考口径，不计入主预测</x:v>
      </x:c>
      <x:c r="H279" s="184"/>
    </x:row>
    <x:row r="280">
      <x:c r="A280" s="177" t="str">
        <x:v>R9-OE-cautious-2028-marketSpace</x:v>
      </x:c>
      <x:c r="B280" s="177" t="str">
        <x:v>cautious2028光引擎法marketSpace</x:v>
      </x:c>
      <x:c r="C280" s="230" t="n">
        <x:f>'光引擎参考'!H49</x:f>
        <x:v>154.39282540800002</x:v>
      </x:c>
      <x:c r="D280" s="230" t="n">
        <x:v>154.39282540800002</x:v>
      </x:c>
      <x:c r="E280" s="230" t="n">
        <x:f>C280-D280</x:f>
        <x:v>0</x:v>
      </x:c>
      <x:c r="F280" s="177" t="str">
        <x:f>IF(ABS(E280)&lt;0.000001,"PASS","偏离发布值")</x:f>
        <x:v>PASS</x:v>
      </x:c>
      <x:c r="G280" s="177" t="str">
        <x:v>独立光引擎参考口径，不计入主预测</x:v>
      </x:c>
      <x:c r="H280" s="184"/>
    </x:row>
    <x:row r="281">
      <x:c r="A281" s="177" t="str">
        <x:v>R9-OE-cautious-2028-revenue</x:v>
      </x:c>
      <x:c r="B281" s="177" t="str">
        <x:v>cautious2028光引擎法revenue</x:v>
      </x:c>
      <x:c r="C281" s="230" t="n">
        <x:f>'光引擎参考'!I49</x:f>
        <x:v>52.83652790304</x:v>
      </x:c>
      <x:c r="D281" s="230" t="n">
        <x:v>52.83652790303999</x:v>
      </x:c>
      <x:c r="E281" s="230" t="n">
        <x:f>C281-D281</x:f>
        <x:v>7.105427357601002e-15</x:v>
      </x:c>
      <x:c r="F281" s="177" t="str">
        <x:f>IF(ABS(E281)&lt;0.000001,"PASS","偏离发布值")</x:f>
        <x:v>PASS</x:v>
      </x:c>
      <x:c r="G281" s="177" t="str">
        <x:v>独立光引擎参考口径，不计入主预测</x:v>
      </x:c>
      <x:c r="H281" s="184"/>
    </x:row>
    <x:row r="282">
      <x:c r="A282" s="177" t="str">
        <x:v>R9-OE-cautious-2028-realizedRevenue</x:v>
      </x:c>
      <x:c r="B282" s="177" t="str">
        <x:v>cautious2028光引擎法realizedRevenue</x:v>
      </x:c>
      <x:c r="C282" s="230" t="n">
        <x:f>'光引擎参考'!K49</x:f>
        <x:v>42.481932102432</x:v>
      </x:c>
      <x:c r="D282" s="230" t="n">
        <x:v>42.481932102432</x:v>
      </x:c>
      <x:c r="E282" s="230" t="n">
        <x:f>C282-D282</x:f>
        <x:v>0</x:v>
      </x:c>
      <x:c r="F282" s="177" t="str">
        <x:f>IF(ABS(E282)&lt;0.000001,"PASS","偏离发布值")</x:f>
        <x:v>PASS</x:v>
      </x:c>
      <x:c r="G282" s="177" t="str">
        <x:v>独立光引擎参考口径，不计入主预测</x:v>
      </x:c>
      <x:c r="H282" s="184"/>
    </x:row>
    <x:row r="283">
      <x:c r="A283" s="177" t="str">
        <x:v>R9-OE-cautious-2028-realizedBusinessProfit</x:v>
      </x:c>
      <x:c r="B283" s="177" t="str">
        <x:v>cautious2028光引擎法realizedBusinessProfit</x:v>
      </x:c>
      <x:c r="C283" s="230" t="n">
        <x:f>'光引擎参考'!L49</x:f>
        <x:v>14.019037593802562</x:v>
      </x:c>
      <x:c r="D283" s="230" t="n">
        <x:v>14.01903759380256</x:v>
      </x:c>
      <x:c r="E283" s="230" t="n">
        <x:f>C283-D283</x:f>
        <x:v>1.7763568394002505e-15</x:v>
      </x:c>
      <x:c r="F283" s="177" t="str">
        <x:f>IF(ABS(E283)&lt;0.000001,"PASS","偏离发布值")</x:f>
        <x:v>PASS</x:v>
      </x:c>
      <x:c r="G283" s="177" t="str">
        <x:v>独立光引擎参考口径，不计入主预测</x:v>
      </x:c>
      <x:c r="H283" s="184"/>
    </x:row>
    <x:row r="284">
      <x:c r="A284" s="177" t="str">
        <x:v>R9-OE-cautious-2029-marketSpace</x:v>
      </x:c>
      <x:c r="B284" s="177" t="str">
        <x:v>cautious2029光引擎法marketSpace</x:v>
      </x:c>
      <x:c r="C284" s="230" t="n">
        <x:f>'光引擎参考'!H57</x:f>
        <x:v>326.2551349184</x:v>
      </x:c>
      <x:c r="D284" s="230" t="n">
        <x:v>326.25513491839996</x:v>
      </x:c>
      <x:c r="E284" s="230" t="n">
        <x:f>C284-D284</x:f>
        <x:v>5.684341886080802e-14</x:v>
      </x:c>
      <x:c r="F284" s="177" t="str">
        <x:f>IF(ABS(E284)&lt;0.000001,"PASS","偏离发布值")</x:f>
        <x:v>PASS</x:v>
      </x:c>
      <x:c r="G284" s="177" t="str">
        <x:v>独立光引擎参考口径，不计入主预测</x:v>
      </x:c>
      <x:c r="H284" s="184"/>
    </x:row>
    <x:row r="285">
      <x:c r="A285" s="177" t="str">
        <x:v>R9-OE-cautious-2029-revenue</x:v>
      </x:c>
      <x:c r="B285" s="177" t="str">
        <x:v>cautious2029光引擎法revenue</x:v>
      </x:c>
      <x:c r="C285" s="230" t="n">
        <x:f>'光引擎参考'!I57</x:f>
        <x:v>134.237457118656</x:v>
      </x:c>
      <x:c r="D285" s="230" t="n">
        <x:v>134.237457118656</x:v>
      </x:c>
      <x:c r="E285" s="230" t="n">
        <x:f>C285-D285</x:f>
        <x:v>0</x:v>
      </x:c>
      <x:c r="F285" s="177" t="str">
        <x:f>IF(ABS(E285)&lt;0.000001,"PASS","偏离发布值")</x:f>
        <x:v>PASS</x:v>
      </x:c>
      <x:c r="G285" s="177" t="str">
        <x:v>独立光引擎参考口径，不计入主预测</x:v>
      </x:c>
      <x:c r="H285" s="184"/>
    </x:row>
    <x:row r="286">
      <x:c r="A286" s="177" t="str">
        <x:v>R9-OE-cautious-2029-realizedRevenue</x:v>
      </x:c>
      <x:c r="B286" s="177" t="str">
        <x:v>cautious2029光引擎法realizedRevenue</x:v>
      </x:c>
      <x:c r="C286" s="230" t="n">
        <x:f>'光引擎参考'!K57</x:f>
        <x:v>106.97954319492482</x:v>
      </x:c>
      <x:c r="D286" s="230" t="n">
        <x:v>106.97954319492482</x:v>
      </x:c>
      <x:c r="E286" s="230" t="n">
        <x:f>C286-D286</x:f>
        <x:v>0</x:v>
      </x:c>
      <x:c r="F286" s="177" t="str">
        <x:f>IF(ABS(E286)&lt;0.000001,"PASS","偏离发布值")</x:f>
        <x:v>PASS</x:v>
      </x:c>
      <x:c r="G286" s="177" t="str">
        <x:v>独立光引擎参考口径，不计入主预测</x:v>
      </x:c>
      <x:c r="H286" s="184"/>
    </x:row>
    <x:row r="287">
      <x:c r="A287" s="177" t="str">
        <x:v>R9-OE-cautious-2029-realizedBusinessProfit</x:v>
      </x:c>
      <x:c r="B287" s="177" t="str">
        <x:v>cautious2029光引擎法realizedBusinessProfit</x:v>
      </x:c>
      <x:c r="C287" s="230" t="n">
        <x:f>'光引擎参考'!L57</x:f>
        <x:v>35.303249254325195</x:v>
      </x:c>
      <x:c r="D287" s="230" t="n">
        <x:v>35.30324925432519</x:v>
      </x:c>
      <x:c r="E287" s="230" t="n">
        <x:f>C287-D287</x:f>
        <x:v>7.105427357601002e-15</x:v>
      </x:c>
      <x:c r="F287" s="177" t="str">
        <x:f>IF(ABS(E287)&lt;0.000001,"PASS","偏离发布值")</x:f>
        <x:v>PASS</x:v>
      </x:c>
      <x:c r="G287" s="177" t="str">
        <x:v>独立光引擎参考口径，不计入主预测</x:v>
      </x:c>
      <x:c r="H287" s="184"/>
    </x:row>
    <x:row r="288">
      <x:c r="A288" s="177" t="str">
        <x:v>R9-OE-cautious-2030-marketSpace</x:v>
      </x:c>
      <x:c r="B288" s="177" t="str">
        <x:v>cautious2030光引擎法marketSpace</x:v>
      </x:c>
      <x:c r="C288" s="230" t="n">
        <x:f>'光引擎参考'!H65</x:f>
        <x:v>602.51995127424</x:v>
      </x:c>
      <x:c r="D288" s="230" t="n">
        <x:v>602.51995127424</x:v>
      </x:c>
      <x:c r="E288" s="230" t="n">
        <x:f>C288-D288</x:f>
        <x:v>0</x:v>
      </x:c>
      <x:c r="F288" s="177" t="str">
        <x:f>IF(ABS(E288)&lt;0.000001,"PASS","偏离发布值")</x:f>
        <x:v>PASS</x:v>
      </x:c>
      <x:c r="G288" s="177" t="str">
        <x:v>独立光引擎参考口径，不计入主预测</x:v>
      </x:c>
      <x:c r="H288" s="184"/>
    </x:row>
    <x:row r="289">
      <x:c r="A289" s="177" t="str">
        <x:v>R9-OE-cautious-2030-revenue</x:v>
      </x:c>
      <x:c r="B289" s="177" t="str">
        <x:v>cautious2030光引擎法revenue</x:v>
      </x:c>
      <x:c r="C289" s="230" t="n">
        <x:f>'光引擎参考'!I65</x:f>
        <x:v>268.2817037011584</x:v>
      </x:c>
      <x:c r="D289" s="230" t="n">
        <x:v>268.2817037011584</x:v>
      </x:c>
      <x:c r="E289" s="230" t="n">
        <x:f>C289-D289</x:f>
        <x:v>0</x:v>
      </x:c>
      <x:c r="F289" s="177" t="str">
        <x:f>IF(ABS(E289)&lt;0.000001,"PASS","偏离发布值")</x:f>
        <x:v>PASS</x:v>
      </x:c>
      <x:c r="G289" s="177" t="str">
        <x:v>独立光引擎参考口径，不计入主预测</x:v>
      </x:c>
      <x:c r="H289" s="184"/>
    </x:row>
    <x:row r="290">
      <x:c r="A290" s="177" t="str">
        <x:v>R9-OE-cautious-2030-realizedRevenue</x:v>
      </x:c>
      <x:c r="B290" s="177" t="str">
        <x:v>cautious2030光引擎法realizedRevenue</x:v>
      </x:c>
      <x:c r="C290" s="230" t="n">
        <x:f>'光引擎参考'!K65</x:f>
        <x:v>212.70870197292675</x:v>
      </x:c>
      <x:c r="D290" s="230" t="n">
        <x:v>212.70870197292675</x:v>
      </x:c>
      <x:c r="E290" s="230" t="n">
        <x:f>C290-D290</x:f>
        <x:v>0</x:v>
      </x:c>
      <x:c r="F290" s="177" t="str">
        <x:f>IF(ABS(E290)&lt;0.000001,"PASS","偏离发布值")</x:f>
        <x:v>PASS</x:v>
      </x:c>
      <x:c r="G290" s="177" t="str">
        <x:v>独立光引擎参考口径，不计入主预测</x:v>
      </x:c>
      <x:c r="H290" s="184"/>
    </x:row>
    <x:row r="291">
      <x:c r="A291" s="177" t="str">
        <x:v>R9-OE-cautious-2030-realizedBusinessProfit</x:v>
      </x:c>
      <x:c r="B291" s="177" t="str">
        <x:v>cautious2030光引擎法realizedBusinessProfit</x:v>
      </x:c>
      <x:c r="C291" s="230" t="n">
        <x:f>'光引擎参考'!L65</x:f>
        <x:v>70.19387165106583</x:v>
      </x:c>
      <x:c r="D291" s="230" t="n">
        <x:v>70.19387165106583</x:v>
      </x:c>
      <x:c r="E291" s="230" t="n">
        <x:f>C291-D291</x:f>
        <x:v>0</x:v>
      </x:c>
      <x:c r="F291" s="177" t="str">
        <x:f>IF(ABS(E291)&lt;0.000001,"PASS","偏离发布值")</x:f>
        <x:v>PASS</x:v>
      </x:c>
      <x:c r="G291" s="177" t="str">
        <x:v>独立光引擎参考口径，不计入主预测</x:v>
      </x:c>
      <x:c r="H291" s="184"/>
    </x:row>
    <x:row r="292">
      <x:c r="A292" s="177" t="str">
        <x:v>R9-OE-base-2026-marketSpace</x:v>
      </x:c>
      <x:c r="B292" s="177" t="str">
        <x:v>base2026光引擎法marketSpace</x:v>
      </x:c>
      <x:c r="C292" s="230" t="n">
        <x:f>'光引擎参考'!H78</x:f>
        <x:v>42.03750399999999</x:v>
      </x:c>
      <x:c r="D292" s="230" t="n">
        <x:v>42.03750399999999</x:v>
      </x:c>
      <x:c r="E292" s="230" t="n">
        <x:f>C292-D292</x:f>
        <x:v>0</x:v>
      </x:c>
      <x:c r="F292" s="177" t="str">
        <x:f>IF(ABS(E292)&lt;0.000001,"PASS","偏离发布值")</x:f>
        <x:v>PASS</x:v>
      </x:c>
      <x:c r="G292" s="177" t="str">
        <x:v>独立光引擎参考口径，不计入主预测</x:v>
      </x:c>
      <x:c r="H292" s="184"/>
    </x:row>
    <x:row r="293">
      <x:c r="A293" s="177" t="str">
        <x:v>R9-OE-base-2026-revenue</x:v>
      </x:c>
      <x:c r="B293" s="177" t="str">
        <x:v>base2026光引擎法revenue</x:v>
      </x:c>
      <x:c r="C293" s="230" t="n">
        <x:f>'光引擎参考'!I78</x:f>
        <x:v>6.2586368000000006</x:v>
      </x:c>
      <x:c r="D293" s="230" t="n">
        <x:v>6.2586368000000006</x:v>
      </x:c>
      <x:c r="E293" s="230" t="n">
        <x:f>C293-D293</x:f>
        <x:v>0</x:v>
      </x:c>
      <x:c r="F293" s="177" t="str">
        <x:f>IF(ABS(E293)&lt;0.000001,"PASS","偏离发布值")</x:f>
        <x:v>PASS</x:v>
      </x:c>
      <x:c r="G293" s="177" t="str">
        <x:v>独立光引擎参考口径，不计入主预测</x:v>
      </x:c>
      <x:c r="H293" s="184"/>
    </x:row>
    <x:row r="294">
      <x:c r="A294" s="177" t="str">
        <x:v>R9-OE-base-2026-realizedRevenue</x:v>
      </x:c>
      <x:c r="B294" s="177" t="str">
        <x:v>base2026光引擎法realizedRevenue</x:v>
      </x:c>
      <x:c r="C294" s="230" t="n">
        <x:f>'光引擎参考'!K78</x:f>
        <x:v>3.8854143999999997</x:v>
      </x:c>
      <x:c r="D294" s="230" t="n">
        <x:v>3.8854143999999997</x:v>
      </x:c>
      <x:c r="E294" s="230" t="n">
        <x:f>C294-D294</x:f>
        <x:v>0</x:v>
      </x:c>
      <x:c r="F294" s="177" t="str">
        <x:f>IF(ABS(E294)&lt;0.000001,"PASS","偏离发布值")</x:f>
        <x:v>PASS</x:v>
      </x:c>
      <x:c r="G294" s="177" t="str">
        <x:v>独立光引擎参考口径，不计入主预测</x:v>
      </x:c>
      <x:c r="H294" s="184"/>
    </x:row>
    <x:row r="295">
      <x:c r="A295" s="177" t="str">
        <x:v>R9-OE-base-2026-realizedBusinessProfit</x:v>
      </x:c>
      <x:c r="B295" s="177" t="str">
        <x:v>base2026光引擎法realizedBusinessProfit</x:v>
      </x:c>
      <x:c r="C295" s="230" t="n">
        <x:f>'光引擎参考'!L78</x:f>
        <x:v>1.282186752</x:v>
      </x:c>
      <x:c r="D295" s="230" t="n">
        <x:v>1.2821867519999999</x:v>
      </x:c>
      <x:c r="E295" s="230" t="n">
        <x:f>C295-D295</x:f>
        <x:v>2.220446049250313e-16</x:v>
      </x:c>
      <x:c r="F295" s="177" t="str">
        <x:f>IF(ABS(E295)&lt;0.000001,"PASS","偏离发布值")</x:f>
        <x:v>PASS</x:v>
      </x:c>
      <x:c r="G295" s="177" t="str">
        <x:v>独立光引擎参考口径，不计入主预测</x:v>
      </x:c>
      <x:c r="H295" s="184"/>
    </x:row>
    <x:row r="296">
      <x:c r="A296" s="177" t="str">
        <x:v>R9-OE-base-2027-marketSpace</x:v>
      </x:c>
      <x:c r="B296" s="177" t="str">
        <x:v>base2027光引擎法marketSpace</x:v>
      </x:c>
      <x:c r="C296" s="230" t="n">
        <x:f>'光引擎参考'!H86</x:f>
        <x:v>104.82512</x:v>
      </x:c>
      <x:c r="D296" s="230" t="n">
        <x:v>104.82512</x:v>
      </x:c>
      <x:c r="E296" s="230" t="n">
        <x:f>C296-D296</x:f>
        <x:v>0</x:v>
      </x:c>
      <x:c r="F296" s="177" t="str">
        <x:f>IF(ABS(E296)&lt;0.000001,"PASS","偏离发布值")</x:f>
        <x:v>PASS</x:v>
      </x:c>
      <x:c r="G296" s="177" t="str">
        <x:v>独立光引擎参考口径，不计入主预测</x:v>
      </x:c>
      <x:c r="H296" s="184"/>
    </x:row>
    <x:row r="297">
      <x:c r="A297" s="177" t="str">
        <x:v>R9-OE-base-2027-revenue</x:v>
      </x:c>
      <x:c r="B297" s="177" t="str">
        <x:v>base2027光引擎法revenue</x:v>
      </x:c>
      <x:c r="C297" s="230" t="n">
        <x:f>'光引擎参考'!I86</x:f>
        <x:v>31.49716</x:v>
      </x:c>
      <x:c r="D297" s="230" t="n">
        <x:v>31.49716</x:v>
      </x:c>
      <x:c r="E297" s="230" t="n">
        <x:f>C297-D297</x:f>
        <x:v>0</x:v>
      </x:c>
      <x:c r="F297" s="177" t="str">
        <x:f>IF(ABS(E297)&lt;0.000001,"PASS","偏离发布值")</x:f>
        <x:v>PASS</x:v>
      </x:c>
      <x:c r="G297" s="177" t="str">
        <x:v>独立光引擎参考口径，不计入主预测</x:v>
      </x:c>
      <x:c r="H297" s="184"/>
    </x:row>
    <x:row r="298">
      <x:c r="A298" s="177" t="str">
        <x:v>R9-OE-base-2027-realizedRevenue</x:v>
      </x:c>
      <x:c r="B298" s="177" t="str">
        <x:v>base2027光引擎法realizedRevenue</x:v>
      </x:c>
      <x:c r="C298" s="230" t="n">
        <x:f>'光引擎参考'!K86</x:f>
        <x:v>23.944244000000005</x:v>
      </x:c>
      <x:c r="D298" s="230" t="n">
        <x:v>23.944244000000005</x:v>
      </x:c>
      <x:c r="E298" s="230" t="n">
        <x:f>C298-D298</x:f>
        <x:v>0</x:v>
      </x:c>
      <x:c r="F298" s="177" t="str">
        <x:f>IF(ABS(E298)&lt;0.000001,"PASS","偏离发布值")</x:f>
        <x:v>PASS</x:v>
      </x:c>
      <x:c r="G298" s="177" t="str">
        <x:v>独立光引擎参考口径，不计入主预测</x:v>
      </x:c>
      <x:c r="H298" s="184"/>
    </x:row>
    <x:row r="299">
      <x:c r="A299" s="177" t="str">
        <x:v>R9-OE-base-2027-realizedBusinessProfit</x:v>
      </x:c>
      <x:c r="B299" s="177" t="str">
        <x:v>base2027光引擎法realizedBusinessProfit</x:v>
      </x:c>
      <x:c r="C299" s="230" t="n">
        <x:f>'光引擎参考'!L86</x:f>
        <x:v>7.9016005200000015</x:v>
      </x:c>
      <x:c r="D299" s="230" t="n">
        <x:v>7.901600520000002</x:v>
      </x:c>
      <x:c r="E299" s="230" t="n">
        <x:f>C299-D299</x:f>
        <x:v>-8.881784197001252e-16</x:v>
      </x:c>
      <x:c r="F299" s="177" t="str">
        <x:f>IF(ABS(E299)&lt;0.000001,"PASS","偏离发布值")</x:f>
        <x:v>PASS</x:v>
      </x:c>
      <x:c r="G299" s="177" t="str">
        <x:v>独立光引擎参考口径，不计入主预测</x:v>
      </x:c>
      <x:c r="H299" s="184"/>
    </x:row>
    <x:row r="300">
      <x:c r="A300" s="177" t="str">
        <x:v>R9-OE-base-2028-marketSpace</x:v>
      </x:c>
      <x:c r="B300" s="177" t="str">
        <x:v>base2028光引擎法marketSpace</x:v>
      </x:c>
      <x:c r="C300" s="230" t="n">
        <x:f>'光引擎参考'!H94</x:f>
        <x:v>184.41426048000002</x:v>
      </x:c>
      <x:c r="D300" s="230" t="n">
        <x:v>184.41426048000002</x:v>
      </x:c>
      <x:c r="E300" s="230" t="n">
        <x:f>C300-D300</x:f>
        <x:v>0</x:v>
      </x:c>
      <x:c r="F300" s="177" t="str">
        <x:f>IF(ABS(E300)&lt;0.000001,"PASS","偏离发布值")</x:f>
        <x:v>PASS</x:v>
      </x:c>
      <x:c r="G300" s="177" t="str">
        <x:v>独立光引擎参考口径，不计入主预测</x:v>
      </x:c>
      <x:c r="H300" s="184"/>
    </x:row>
    <x:row r="301">
      <x:c r="A301" s="177" t="str">
        <x:v>R9-OE-base-2028-revenue</x:v>
      </x:c>
      <x:c r="B301" s="177" t="str">
        <x:v>base2028光引擎法revenue</x:v>
      </x:c>
      <x:c r="C301" s="230" t="n">
        <x:f>'光引擎参考'!I94</x:f>
        <x:v>72.32410022399999</x:v>
      </x:c>
      <x:c r="D301" s="230" t="n">
        <x:v>72.32410022399999</x:v>
      </x:c>
      <x:c r="E301" s="230" t="n">
        <x:f>C301-D301</x:f>
        <x:v>0</x:v>
      </x:c>
      <x:c r="F301" s="177" t="str">
        <x:f>IF(ABS(E301)&lt;0.000001,"PASS","偏离发布值")</x:f>
        <x:v>PASS</x:v>
      </x:c>
      <x:c r="G301" s="177" t="str">
        <x:v>独立光引擎参考口径，不计入主预测</x:v>
      </x:c>
      <x:c r="H301" s="184"/>
    </x:row>
    <x:row r="302">
      <x:c r="A302" s="177" t="str">
        <x:v>R9-OE-base-2028-realizedRevenue</x:v>
      </x:c>
      <x:c r="B302" s="177" t="str">
        <x:v>base2028光引擎法realizedRevenue</x:v>
      </x:c>
      <x:c r="C302" s="230" t="n">
        <x:f>'光引擎参考'!K94</x:f>
        <x:v>58.1536881792</x:v>
      </x:c>
      <x:c r="D302" s="230" t="n">
        <x:v>58.1536881792</x:v>
      </x:c>
      <x:c r="E302" s="230" t="n">
        <x:f>C302-D302</x:f>
        <x:v>0</x:v>
      </x:c>
      <x:c r="F302" s="177" t="str">
        <x:f>IF(ABS(E302)&lt;0.000001,"PASS","偏离发布值")</x:f>
        <x:v>PASS</x:v>
      </x:c>
      <x:c r="G302" s="177" t="str">
        <x:v>独立光引擎参考口径，不计入主预测</x:v>
      </x:c>
      <x:c r="H302" s="184"/>
    </x:row>
    <x:row r="303">
      <x:c r="A303" s="177" t="str">
        <x:v>R9-OE-base-2028-realizedBusinessProfit</x:v>
      </x:c>
      <x:c r="B303" s="177" t="str">
        <x:v>base2028光引擎法realizedBusinessProfit</x:v>
      </x:c>
      <x:c r="C303" s="230" t="n">
        <x:f>'光引擎参考'!L94</x:f>
        <x:v>19.190717099136002</x:v>
      </x:c>
      <x:c r="D303" s="230" t="n">
        <x:v>19.190717099136002</x:v>
      </x:c>
      <x:c r="E303" s="230" t="n">
        <x:f>C303-D303</x:f>
        <x:v>0</x:v>
      </x:c>
      <x:c r="F303" s="177" t="str">
        <x:f>IF(ABS(E303)&lt;0.000001,"PASS","偏离发布值")</x:f>
        <x:v>PASS</x:v>
      </x:c>
      <x:c r="G303" s="177" t="str">
        <x:v>独立光引擎参考口径，不计入主预测</x:v>
      </x:c>
      <x:c r="H303" s="184"/>
    </x:row>
    <x:row r="304">
      <x:c r="A304" s="177" t="str">
        <x:v>R9-OE-base-2029-marketSpace</x:v>
      </x:c>
      <x:c r="B304" s="177" t="str">
        <x:v>base2029光引擎法marketSpace</x:v>
      </x:c>
      <x:c r="C304" s="230" t="n">
        <x:f>'光引擎参考'!H102</x:f>
        <x:v>388.326111104</x:v>
      </x:c>
      <x:c r="D304" s="230" t="n">
        <x:v>388.326111104</x:v>
      </x:c>
      <x:c r="E304" s="230" t="n">
        <x:f>C304-D304</x:f>
        <x:v>0</x:v>
      </x:c>
      <x:c r="F304" s="177" t="str">
        <x:f>IF(ABS(E304)&lt;0.000001,"PASS","偏离发布值")</x:f>
        <x:v>PASS</x:v>
      </x:c>
      <x:c r="G304" s="177" t="str">
        <x:v>独立光引擎参考口径，不计入主预测</x:v>
      </x:c>
      <x:c r="H304" s="184"/>
    </x:row>
    <x:row r="305">
      <x:c r="A305" s="177" t="str">
        <x:v>R9-OE-base-2029-revenue</x:v>
      </x:c>
      <x:c r="B305" s="177" t="str">
        <x:v>base2029光引擎法revenue</x:v>
      </x:c>
      <x:c r="C305" s="230" t="n">
        <x:f>'光引擎参考'!I102</x:f>
        <x:v>173.12410397440001</x:v>
      </x:c>
      <x:c r="D305" s="230" t="n">
        <x:v>173.12410397440001</x:v>
      </x:c>
      <x:c r="E305" s="230" t="n">
        <x:f>C305-D305</x:f>
        <x:v>0</x:v>
      </x:c>
      <x:c r="F305" s="177" t="str">
        <x:f>IF(ABS(E305)&lt;0.000001,"PASS","偏离发布值")</x:f>
        <x:v>PASS</x:v>
      </x:c>
      <x:c r="G305" s="177" t="str">
        <x:v>独立光引擎参考口径，不计入主预测</x:v>
      </x:c>
      <x:c r="H305" s="184"/>
    </x:row>
    <x:row r="306">
      <x:c r="A306" s="177" t="str">
        <x:v>R9-OE-base-2029-realizedRevenue</x:v>
      </x:c>
      <x:c r="B306" s="177" t="str">
        <x:v>base2029光引擎法realizedRevenue</x:v>
      </x:c>
      <x:c r="C306" s="230" t="n">
        <x:f>'光引擎参考'!K102</x:f>
        <x:v>137.96278317952002</x:v>
      </x:c>
      <x:c r="D306" s="230" t="n">
        <x:v>137.96278317952002</x:v>
      </x:c>
      <x:c r="E306" s="230" t="n">
        <x:f>C306-D306</x:f>
        <x:v>0</x:v>
      </x:c>
      <x:c r="F306" s="177" t="str">
        <x:f>IF(ABS(E306)&lt;0.000001,"PASS","偏离发布值")</x:f>
        <x:v>PASS</x:v>
      </x:c>
      <x:c r="G306" s="177" t="str">
        <x:v>独立光引擎参考口径，不计入主预测</x:v>
      </x:c>
      <x:c r="H306" s="184"/>
    </x:row>
    <x:row r="307">
      <x:c r="A307" s="177" t="str">
        <x:v>R9-OE-base-2029-realizedBusinessProfit</x:v>
      </x:c>
      <x:c r="B307" s="177" t="str">
        <x:v>base2029光引擎法realizedBusinessProfit</x:v>
      </x:c>
      <x:c r="C307" s="230" t="n">
        <x:f>'光引擎参考'!L102</x:f>
        <x:v>45.527718449241604</x:v>
      </x:c>
      <x:c r="D307" s="230" t="n">
        <x:v>45.52771844924161</x:v>
      </x:c>
      <x:c r="E307" s="230" t="n">
        <x:f>C307-D307</x:f>
        <x:v>-7.105427357601002e-15</x:v>
      </x:c>
      <x:c r="F307" s="177" t="str">
        <x:f>IF(ABS(E307)&lt;0.000001,"PASS","偏离发布值")</x:f>
        <x:v>PASS</x:v>
      </x:c>
      <x:c r="G307" s="177" t="str">
        <x:v>独立光引擎参考口径，不计入主预测</x:v>
      </x:c>
      <x:c r="H307" s="184"/>
    </x:row>
    <x:row r="308">
      <x:c r="A308" s="177" t="str">
        <x:v>R9-OE-base-2030-marketSpace</x:v>
      </x:c>
      <x:c r="B308" s="177" t="str">
        <x:v>base2030光引擎法marketSpace</x:v>
      </x:c>
      <x:c r="C308" s="230" t="n">
        <x:f>'光引擎参考'!H110</x:f>
        <x:v>715.1702617344</x:v>
      </x:c>
      <x:c r="D308" s="230" t="n">
        <x:v>715.1702617344</x:v>
      </x:c>
      <x:c r="E308" s="230" t="n">
        <x:f>C308-D308</x:f>
        <x:v>0</x:v>
      </x:c>
      <x:c r="F308" s="177" t="str">
        <x:f>IF(ABS(E308)&lt;0.000001,"PASS","偏离发布值")</x:f>
        <x:v>PASS</x:v>
      </x:c>
      <x:c r="G308" s="177" t="str">
        <x:v>独立光引擎参考口径，不计入主预测</x:v>
      </x:c>
      <x:c r="H308" s="184"/>
    </x:row>
    <x:row r="309">
      <x:c r="A309" s="177" t="str">
        <x:v>R9-OE-base-2030-revenue</x:v>
      </x:c>
      <x:c r="B309" s="177" t="str">
        <x:v>base2030光引擎法revenue</x:v>
      </x:c>
      <x:c r="C309" s="230" t="n">
        <x:f>'光引擎参考'!I110</x:f>
        <x:v>342.79696932096005</x:v>
      </x:c>
      <x:c r="D309" s="230" t="n">
        <x:v>342.79696932096005</x:v>
      </x:c>
      <x:c r="E309" s="230" t="n">
        <x:f>C309-D309</x:f>
        <x:v>0</x:v>
      </x:c>
      <x:c r="F309" s="177" t="str">
        <x:f>IF(ABS(E309)&lt;0.000001,"PASS","偏离发布值")</x:f>
        <x:v>PASS</x:v>
      </x:c>
      <x:c r="G309" s="177" t="str">
        <x:v>独立光引擎参考口径，不计入主预测</x:v>
      </x:c>
      <x:c r="H309" s="184"/>
    </x:row>
    <x:row r="310">
      <x:c r="A310" s="177" t="str">
        <x:v>R9-OE-base-2030-realizedRevenue</x:v>
      </x:c>
      <x:c r="B310" s="177" t="str">
        <x:v>base2030光引擎法realizedRevenue</x:v>
      </x:c>
      <x:c r="C310" s="230" t="n">
        <x:f>'光引擎参考'!K110</x:f>
        <x:v>271.73213625676806</x:v>
      </x:c>
      <x:c r="D310" s="230" t="n">
        <x:v>271.73213625676806</x:v>
      </x:c>
      <x:c r="E310" s="230" t="n">
        <x:f>C310-D310</x:f>
        <x:v>0</x:v>
      </x:c>
      <x:c r="F310" s="177" t="str">
        <x:f>IF(ABS(E310)&lt;0.000001,"PASS","偏离发布值")</x:f>
        <x:v>PASS</x:v>
      </x:c>
      <x:c r="G310" s="177" t="str">
        <x:v>独立光引擎参考口径，不计入主预测</x:v>
      </x:c>
      <x:c r="H310" s="184"/>
    </x:row>
    <x:row r="311">
      <x:c r="A311" s="177" t="str">
        <x:v>R9-OE-base-2030-realizedBusinessProfit</x:v>
      </x:c>
      <x:c r="B311" s="177" t="str">
        <x:v>base2030光引擎法realizedBusinessProfit</x:v>
      </x:c>
      <x:c r="C311" s="230" t="n">
        <x:f>'光引擎参考'!L110</x:f>
        <x:v>89.67160496473346</x:v>
      </x:c>
      <x:c r="D311" s="230" t="n">
        <x:v>89.67160496473346</x:v>
      </x:c>
      <x:c r="E311" s="230" t="n">
        <x:f>C311-D311</x:f>
        <x:v>0</x:v>
      </x:c>
      <x:c r="F311" s="177" t="str">
        <x:f>IF(ABS(E311)&lt;0.000001,"PASS","偏离发布值")</x:f>
        <x:v>PASS</x:v>
      </x:c>
      <x:c r="G311" s="177" t="str">
        <x:v>独立光引擎参考口径，不计入主预测</x:v>
      </x:c>
      <x:c r="H311" s="184"/>
    </x:row>
    <x:row r="312">
      <x:c r="A312" s="177" t="str">
        <x:v>R9-OE-optimistic-2026-marketSpace</x:v>
      </x:c>
      <x:c r="B312" s="177" t="str">
        <x:v>optimistic2026光引擎法marketSpace</x:v>
      </x:c>
      <x:c r="C312" s="230" t="n">
        <x:f>'光引擎参考'!H123</x:f>
        <x:v>46.548454400000004</x:v>
      </x:c>
      <x:c r="D312" s="230" t="n">
        <x:v>46.548454400000004</x:v>
      </x:c>
      <x:c r="E312" s="230" t="n">
        <x:f>C312-D312</x:f>
        <x:v>0</x:v>
      </x:c>
      <x:c r="F312" s="177" t="str">
        <x:f>IF(ABS(E312)&lt;0.000001,"PASS","偏离发布值")</x:f>
        <x:v>PASS</x:v>
      </x:c>
      <x:c r="G312" s="177" t="str">
        <x:v>独立光引擎参考口径，不计入主预测</x:v>
      </x:c>
      <x:c r="H312" s="184"/>
    </x:row>
    <x:row r="313">
      <x:c r="A313" s="177" t="str">
        <x:v>R9-OE-optimistic-2026-revenue</x:v>
      </x:c>
      <x:c r="B313" s="177" t="str">
        <x:v>optimistic2026光引擎法revenue</x:v>
      </x:c>
      <x:c r="C313" s="230" t="n">
        <x:f>'光引擎参考'!I123</x:f>
        <x:v>7.76242624</x:v>
      </x:c>
      <x:c r="D313" s="230" t="n">
        <x:v>7.76242624</x:v>
      </x:c>
      <x:c r="E313" s="230" t="n">
        <x:f>C313-D313</x:f>
        <x:v>0</x:v>
      </x:c>
      <x:c r="F313" s="177" t="str">
        <x:f>IF(ABS(E313)&lt;0.000001,"PASS","偏离发布值")</x:f>
        <x:v>PASS</x:v>
      </x:c>
      <x:c r="G313" s="177" t="str">
        <x:v>独立光引擎参考口径，不计入主预测</x:v>
      </x:c>
      <x:c r="H313" s="184"/>
    </x:row>
    <x:row r="314">
      <x:c r="A314" s="177" t="str">
        <x:v>R9-OE-optimistic-2026-realizedRevenue</x:v>
      </x:c>
      <x:c r="B314" s="177" t="str">
        <x:v>optimistic2026光引擎法realizedRevenue</x:v>
      </x:c>
      <x:c r="C314" s="230" t="n">
        <x:f>'光引擎参考'!K123</x:f>
        <x:v>4.85684992</x:v>
      </x:c>
      <x:c r="D314" s="230" t="n">
        <x:v>4.85684992</x:v>
      </x:c>
      <x:c r="E314" s="230" t="n">
        <x:f>C314-D314</x:f>
        <x:v>0</x:v>
      </x:c>
      <x:c r="F314" s="177" t="str">
        <x:f>IF(ABS(E314)&lt;0.000001,"PASS","偏离发布值")</x:f>
        <x:v>PASS</x:v>
      </x:c>
      <x:c r="G314" s="177" t="str">
        <x:v>独立光引擎参考口径，不计入主预测</x:v>
      </x:c>
      <x:c r="H314" s="184"/>
    </x:row>
    <x:row r="315">
      <x:c r="A315" s="177" t="str">
        <x:v>R9-OE-optimistic-2026-realizedBusinessProfit</x:v>
      </x:c>
      <x:c r="B315" s="177" t="str">
        <x:v>optimistic2026光引擎法realizedBusinessProfit</x:v>
      </x:c>
      <x:c r="C315" s="230" t="n">
        <x:f>'光引擎参考'!L123</x:f>
        <x:v>1.6027604736</x:v>
      </x:c>
      <x:c r="D315" s="230" t="n">
        <x:v>1.6027604736</x:v>
      </x:c>
      <x:c r="E315" s="230" t="n">
        <x:f>C315-D315</x:f>
        <x:v>0</x:v>
      </x:c>
      <x:c r="F315" s="177" t="str">
        <x:f>IF(ABS(E315)&lt;0.000001,"PASS","偏离发布值")</x:f>
        <x:v>PASS</x:v>
      </x:c>
      <x:c r="G315" s="177" t="str">
        <x:v>独立光引擎参考口径，不计入主预测</x:v>
      </x:c>
      <x:c r="H315" s="184"/>
    </x:row>
    <x:row r="316">
      <x:c r="A316" s="177" t="str">
        <x:v>R9-OE-optimistic-2027-marketSpace</x:v>
      </x:c>
      <x:c r="B316" s="177" t="str">
        <x:v>optimistic2027光引擎法marketSpace</x:v>
      </x:c>
      <x:c r="C316" s="230" t="n">
        <x:f>'光引擎参考'!H131</x:f>
        <x:v>116.90507200000002</x:v>
      </x:c>
      <x:c r="D316" s="230" t="n">
        <x:v>116.90507200000002</x:v>
      </x:c>
      <x:c r="E316" s="230" t="n">
        <x:f>C316-D316</x:f>
        <x:v>0</x:v>
      </x:c>
      <x:c r="F316" s="177" t="str">
        <x:f>IF(ABS(E316)&lt;0.000001,"PASS","偏离发布值")</x:f>
        <x:v>PASS</x:v>
      </x:c>
      <x:c r="G316" s="177" t="str">
        <x:v>独立光引擎参考口径，不计入主预测</x:v>
      </x:c>
      <x:c r="H316" s="184"/>
    </x:row>
    <x:row r="317">
      <x:c r="A317" s="177" t="str">
        <x:v>R9-OE-optimistic-2027-revenue</x:v>
      </x:c>
      <x:c r="B317" s="177" t="str">
        <x:v>optimistic2027光引擎法revenue</x:v>
      </x:c>
      <x:c r="C317" s="230" t="n">
        <x:f>'光引擎参考'!I131</x:f>
        <x:v>38.782338666666675</x:v>
      </x:c>
      <x:c r="D317" s="230" t="n">
        <x:v>38.782338666666675</x:v>
      </x:c>
      <x:c r="E317" s="230" t="n">
        <x:f>C317-D317</x:f>
        <x:v>0</x:v>
      </x:c>
      <x:c r="F317" s="177" t="str">
        <x:f>IF(ABS(E317)&lt;0.000001,"PASS","偏离发布值")</x:f>
        <x:v>PASS</x:v>
      </x:c>
      <x:c r="G317" s="177" t="str">
        <x:v>独立光引擎参考口径，不计入主预测</x:v>
      </x:c>
      <x:c r="H317" s="184"/>
    </x:row>
    <x:row r="318">
      <x:c r="A318" s="177" t="str">
        <x:v>R9-OE-optimistic-2027-realizedRevenue</x:v>
      </x:c>
      <x:c r="B318" s="177" t="str">
        <x:v>optimistic2027光引擎法realizedRevenue</x:v>
      </x:c>
      <x:c r="C318" s="230" t="n">
        <x:f>'光引擎参考'!K131</x:f>
        <x:v>29.574935733333337</x:v>
      </x:c>
      <x:c r="D318" s="230" t="n">
        <x:v>29.574935733333337</x:v>
      </x:c>
      <x:c r="E318" s="230" t="n">
        <x:f>C318-D318</x:f>
        <x:v>0</x:v>
      </x:c>
      <x:c r="F318" s="177" t="str">
        <x:f>IF(ABS(E318)&lt;0.000001,"PASS","偏离发布值")</x:f>
        <x:v>PASS</x:v>
      </x:c>
      <x:c r="G318" s="177" t="str">
        <x:v>独立光引擎参考口径，不计入主预测</x:v>
      </x:c>
      <x:c r="H318" s="184"/>
    </x:row>
    <x:row r="319">
      <x:c r="A319" s="177" t="str">
        <x:v>R9-OE-optimistic-2027-realizedBusinessProfit</x:v>
      </x:c>
      <x:c r="B319" s="177" t="str">
        <x:v>optimistic2027光引擎法realizedBusinessProfit</x:v>
      </x:c>
      <x:c r="C319" s="230" t="n">
        <x:f>'光引擎参考'!L131</x:f>
        <x:v>9.759728792000002</x:v>
      </x:c>
      <x:c r="D319" s="230" t="n">
        <x:v>9.759728792000002</x:v>
      </x:c>
      <x:c r="E319" s="230" t="n">
        <x:f>C319-D319</x:f>
        <x:v>0</x:v>
      </x:c>
      <x:c r="F319" s="177" t="str">
        <x:f>IF(ABS(E319)&lt;0.000001,"PASS","偏离发布值")</x:f>
        <x:v>PASS</x:v>
      </x:c>
      <x:c r="G319" s="177" t="str">
        <x:v>独立光引擎参考口径，不计入主预测</x:v>
      </x:c>
      <x:c r="H319" s="184"/>
    </x:row>
    <x:row r="320">
      <x:c r="A320" s="177" t="str">
        <x:v>R9-OE-optimistic-2028-marketSpace</x:v>
      </x:c>
      <x:c r="B320" s="177" t="str">
        <x:v>optimistic2028光引擎法marketSpace</x:v>
      </x:c>
      <x:c r="C320" s="230" t="n">
        <x:f>'光引擎参考'!H139</x:f>
        <x:v>206.394630528</x:v>
      </x:c>
      <x:c r="D320" s="230" t="n">
        <x:v>206.394630528</x:v>
      </x:c>
      <x:c r="E320" s="230" t="n">
        <x:f>C320-D320</x:f>
        <x:v>0</x:v>
      </x:c>
      <x:c r="F320" s="177" t="str">
        <x:f>IF(ABS(E320)&lt;0.000001,"PASS","偏离发布值")</x:f>
        <x:v>PASS</x:v>
      </x:c>
      <x:c r="G320" s="177" t="str">
        <x:v>独立光引擎参考口径，不计入主预测</x:v>
      </x:c>
      <x:c r="H320" s="184"/>
    </x:row>
    <x:row r="321">
      <x:c r="A321" s="177" t="str">
        <x:v>R9-OE-optimistic-2028-revenue</x:v>
      </x:c>
      <x:c r="B321" s="177" t="str">
        <x:v>optimistic2028光引擎法revenue</x:v>
      </x:c>
      <x:c r="C321" s="230" t="n">
        <x:f>'光引擎参考'!I139</x:f>
        <x:v>88.83280669824</x:v>
      </x:c>
      <x:c r="D321" s="230" t="n">
        <x:v>88.83280669824</x:v>
      </x:c>
      <x:c r="E321" s="230" t="n">
        <x:f>C321-D321</x:f>
        <x:v>0</x:v>
      </x:c>
      <x:c r="F321" s="177" t="str">
        <x:f>IF(ABS(E321)&lt;0.000001,"PASS","偏离发布值")</x:f>
        <x:v>PASS</x:v>
      </x:c>
      <x:c r="G321" s="177" t="str">
        <x:v>独立光引擎参考口径，不计入主预测</x:v>
      </x:c>
      <x:c r="H321" s="184"/>
    </x:row>
    <x:row r="322">
      <x:c r="A322" s="177" t="str">
        <x:v>R9-OE-optimistic-2028-realizedRevenue</x:v>
      </x:c>
      <x:c r="B322" s="177" t="str">
        <x:v>optimistic2028光引擎法realizedRevenue</x:v>
      </x:c>
      <x:c r="C322" s="230" t="n">
        <x:f>'光引擎参考'!K139</x:f>
        <x:v>71.42247903859202</x:v>
      </x:c>
      <x:c r="D322" s="230" t="n">
        <x:v>71.422479038592</x:v>
      </x:c>
      <x:c r="E322" s="230" t="n">
        <x:f>C322-D322</x:f>
        <x:v>1.4210854715202004e-14</x:v>
      </x:c>
      <x:c r="F322" s="177" t="str">
        <x:f>IF(ABS(E322)&lt;0.000001,"PASS","偏离发布值")</x:f>
        <x:v>PASS</x:v>
      </x:c>
      <x:c r="G322" s="177" t="str">
        <x:v>独立光引擎参考口径，不计入主预测</x:v>
      </x:c>
      <x:c r="H322" s="184"/>
    </x:row>
    <x:row r="323">
      <x:c r="A323" s="177" t="str">
        <x:v>R9-OE-optimistic-2028-realizedBusinessProfit</x:v>
      </x:c>
      <x:c r="B323" s="177" t="str">
        <x:v>optimistic2028光引擎法realizedBusinessProfit</x:v>
      </x:c>
      <x:c r="C323" s="230" t="n">
        <x:f>'光引擎参考'!L139</x:f>
        <x:v>23.569418082735368</x:v>
      </x:c>
      <x:c r="D323" s="230" t="n">
        <x:v>23.56941808273536</x:v>
      </x:c>
      <x:c r="E323" s="230" t="n">
        <x:f>C323-D323</x:f>
        <x:v>7.105427357601002e-15</x:v>
      </x:c>
      <x:c r="F323" s="177" t="str">
        <x:f>IF(ABS(E323)&lt;0.000001,"PASS","偏离发布值")</x:f>
        <x:v>PASS</x:v>
      </x:c>
      <x:c r="G323" s="177" t="str">
        <x:v>独立光引擎参考口径，不计入主预测</x:v>
      </x:c>
      <x:c r="H323" s="184"/>
    </x:row>
    <x:row r="324">
      <x:c r="A324" s="177" t="str">
        <x:v>R9-OE-optimistic-2029-marketSpace</x:v>
      </x:c>
      <x:c r="B324" s="177" t="str">
        <x:v>optimistic2029光引擎法marketSpace</x:v>
      </x:c>
      <x:c r="C324" s="230" t="n">
        <x:f>'光引擎参考'!H147</x:f>
        <x:v>432.89181149440003</x:v>
      </x:c>
      <x:c r="D324" s="230" t="n">
        <x:v>432.89181149440003</x:v>
      </x:c>
      <x:c r="E324" s="230" t="n">
        <x:f>C324-D324</x:f>
        <x:v>0</x:v>
      </x:c>
      <x:c r="F324" s="177" t="str">
        <x:f>IF(ABS(E324)&lt;0.000001,"PASS","偏离发布值")</x:f>
        <x:v>PASS</x:v>
      </x:c>
      <x:c r="G324" s="177" t="str">
        <x:v>独立光引擎参考口径，不计入主预测</x:v>
      </x:c>
      <x:c r="H324" s="184"/>
    </x:row>
    <x:row r="325">
      <x:c r="A325" s="177" t="str">
        <x:v>R9-OE-optimistic-2029-revenue</x:v>
      </x:c>
      <x:c r="B325" s="177" t="str">
        <x:v>optimistic2029光引擎法revenue</x:v>
      </x:c>
      <x:c r="C325" s="230" t="n">
        <x:f>'光引擎参考'!I147</x:f>
        <x:v>208.53606734118404</x:v>
      </x:c>
      <x:c r="D325" s="230" t="n">
        <x:v>208.53606734118404</x:v>
      </x:c>
      <x:c r="E325" s="230" t="n">
        <x:f>C325-D325</x:f>
        <x:v>0</x:v>
      </x:c>
      <x:c r="F325" s="177" t="str">
        <x:f>IF(ABS(E325)&lt;0.000001,"PASS","偏离发布值")</x:f>
        <x:v>PASS</x:v>
      </x:c>
      <x:c r="G325" s="177" t="str">
        <x:v>独立光引擎参考口径，不计入主预测</x:v>
      </x:c>
      <x:c r="H325" s="184"/>
    </x:row>
    <x:row r="326">
      <x:c r="A326" s="177" t="str">
        <x:v>R9-OE-optimistic-2029-realizedRevenue</x:v>
      </x:c>
      <x:c r="B326" s="177" t="str">
        <x:v>optimistic2029光引擎法realizedRevenue</x:v>
      </x:c>
      <x:c r="C326" s="230" t="n">
        <x:f>'光引擎参考'!K147</x:f>
        <x:v>166.17968887294722</x:v>
      </x:c>
      <x:c r="D326" s="230" t="n">
        <x:v>166.17968887294722</x:v>
      </x:c>
      <x:c r="E326" s="230" t="n">
        <x:f>C326-D326</x:f>
        <x:v>0</x:v>
      </x:c>
      <x:c r="F326" s="177" t="str">
        <x:f>IF(ABS(E326)&lt;0.000001,"PASS","偏离发布值")</x:f>
        <x:v>PASS</x:v>
      </x:c>
      <x:c r="G326" s="177" t="str">
        <x:v>独立光引擎参考口径，不计入主预测</x:v>
      </x:c>
      <x:c r="H326" s="184"/>
    </x:row>
    <x:row r="327">
      <x:c r="A327" s="177" t="str">
        <x:v>R9-OE-optimistic-2029-realizedBusinessProfit</x:v>
      </x:c>
      <x:c r="B327" s="177" t="str">
        <x:v>optimistic2029光引擎法realizedBusinessProfit</x:v>
      </x:c>
      <x:c r="C327" s="230" t="n">
        <x:f>'光引擎参考'!L147</x:f>
        <x:v>54.83929732807259</x:v>
      </x:c>
      <x:c r="D327" s="230" t="n">
        <x:v>54.83929732807259</x:v>
      </x:c>
      <x:c r="E327" s="230" t="n">
        <x:f>C327-D327</x:f>
        <x:v>0</x:v>
      </x:c>
      <x:c r="F327" s="177" t="str">
        <x:f>IF(ABS(E327)&lt;0.000001,"PASS","偏离发布值")</x:f>
        <x:v>PASS</x:v>
      </x:c>
      <x:c r="G327" s="177" t="str">
        <x:v>独立光引擎参考口径，不计入主预测</x:v>
      </x:c>
      <x:c r="H327" s="184"/>
    </x:row>
    <x:row r="328">
      <x:c r="A328" s="177" t="str">
        <x:v>R9-OE-optimistic-2030-marketSpace</x:v>
      </x:c>
      <x:c r="B328" s="177" t="str">
        <x:v>optimistic2030光引擎法marketSpace</x:v>
      </x:c>
      <x:c r="C328" s="230" t="n">
        <x:f>'光引擎参考'!H155</x:f>
        <x:v>794.7494447078402</x:v>
      </x:c>
      <x:c r="D328" s="230" t="n">
        <x:v>794.74944470784</x:v>
      </x:c>
      <x:c r="E328" s="230" t="n">
        <x:f>C328-D328</x:f>
        <x:v>2.2737367544323206e-13</x:v>
      </x:c>
      <x:c r="F328" s="177" t="str">
        <x:f>IF(ABS(E328)&lt;0.000001,"PASS","偏离发布值")</x:f>
        <x:v>PASS</x:v>
      </x:c>
      <x:c r="G328" s="177" t="str">
        <x:v>独立光引擎参考口径，不计入主预测</x:v>
      </x:c>
      <x:c r="H328" s="184"/>
    </x:row>
    <x:row r="329">
      <x:c r="A329" s="177" t="str">
        <x:v>R9-OE-optimistic-2030-revenue</x:v>
      </x:c>
      <x:c r="B329" s="177" t="str">
        <x:v>optimistic2030光引擎法revenue</x:v>
      </x:c>
      <x:c r="C329" s="230" t="n">
        <x:f>'光引擎参考'!I155</x:f>
        <x:v>408.6525184363777</x:v>
      </x:c>
      <x:c r="D329" s="230" t="n">
        <x:v>408.65251843637765</x:v>
      </x:c>
      <x:c r="E329" s="230" t="n">
        <x:f>C329-D329</x:f>
        <x:v>5.684341886080802e-14</x:v>
      </x:c>
      <x:c r="F329" s="177" t="str">
        <x:f>IF(ABS(E329)&lt;0.000001,"PASS","偏离发布值")</x:f>
        <x:v>PASS</x:v>
      </x:c>
      <x:c r="G329" s="177" t="str">
        <x:v>独立光引擎参考口径，不计入主预测</x:v>
      </x:c>
      <x:c r="H329" s="184"/>
    </x:row>
    <x:row r="330">
      <x:c r="A330" s="177" t="str">
        <x:v>R9-OE-optimistic-2030-realizedRevenue</x:v>
      </x:c>
      <x:c r="B330" s="177" t="str">
        <x:v>optimistic2030光引擎法realizedRevenue</x:v>
      </x:c>
      <x:c r="C330" s="230" t="n">
        <x:f>'光引擎参考'!K155</x:f>
        <x:v>323.8904333171022</x:v>
      </x:c>
      <x:c r="D330" s="230" t="n">
        <x:v>323.8904333171022</x:v>
      </x:c>
      <x:c r="E330" s="230" t="n">
        <x:f>C330-D330</x:f>
        <x:v>0</x:v>
      </x:c>
      <x:c r="F330" s="177" t="str">
        <x:f>IF(ABS(E330)&lt;0.000001,"PASS","偏离发布值")</x:f>
        <x:v>PASS</x:v>
      </x:c>
      <x:c r="G330" s="177" t="str">
        <x:v>独立光引擎参考口径，不计入主预测</x:v>
      </x:c>
      <x:c r="H330" s="184"/>
    </x:row>
    <x:row r="331">
      <x:c r="A331" s="177" t="str">
        <x:v>R9-OE-optimistic-2030-realizedBusinessProfit</x:v>
      </x:c>
      <x:c r="B331" s="177" t="str">
        <x:v>optimistic2030光引擎法realizedBusinessProfit</x:v>
      </x:c>
      <x:c r="C331" s="230" t="n">
        <x:f>'光引擎参考'!L155</x:f>
        <x:v>106.88384299464373</x:v>
      </x:c>
      <x:c r="D331" s="230" t="n">
        <x:v>106.88384299464373</x:v>
      </x:c>
      <x:c r="E331" s="230" t="n">
        <x:f>C331-D331</x:f>
        <x:v>0</x:v>
      </x:c>
      <x:c r="F331" s="177" t="str">
        <x:f>IF(ABS(E331)&lt;0.000001,"PASS","偏离发布值")</x:f>
        <x:v>PASS</x:v>
      </x:c>
      <x:c r="G331" s="177" t="str">
        <x:v>独立光引擎参考口径，不计入主预测</x:v>
      </x:c>
      <x:c r="H331" s="184"/>
    </x:row>
    <x:row r="332">
      <x:c r="A332" s="184"/>
      <x:c r="B332" s="184"/>
      <x:c r="C332" s="184"/>
      <x:c r="D332" s="184"/>
      <x:c r="E332" s="184"/>
      <x:c r="F332" s="184"/>
      <x:c r="G332" s="184"/>
      <x:c r="H332" s="184"/>
    </x:row>
    <x:row r="333">
      <x:c r="A333" s="184"/>
      <x:c r="B333" s="184"/>
      <x:c r="C333" s="184"/>
      <x:c r="D333" s="184"/>
      <x:c r="E333" s="184"/>
      <x:c r="F333" s="184"/>
      <x:c r="G333" s="184"/>
      <x:c r="H333" s="184"/>
    </x:row>
    <x:row r="334">
      <x:c r="A334" s="176" t="str">
        <x:v>动态勾稽：修改有效输入后仍应通过</x:v>
      </x:c>
      <x:c r="B334" s="176"/>
      <x:c r="C334" s="176"/>
      <x:c r="D334" s="176"/>
      <x:c r="E334" s="176"/>
      <x:c r="F334" s="176"/>
      <x:c r="G334" s="176"/>
      <x:c r="H334" s="184"/>
    </x:row>
    <x:row r="335">
      <x:c r="A335" s="176" t="str">
        <x:v>校验ID</x:v>
      </x:c>
      <x:c r="B335" s="176" t="str">
        <x:v>校验项</x:v>
      </x:c>
      <x:c r="C335" s="176" t="str">
        <x:v>实际值</x:v>
      </x:c>
      <x:c r="D335" s="176" t="str">
        <x:v>当前输入计算值</x:v>
      </x:c>
      <x:c r="E335" s="176" t="str">
        <x:v>差异</x:v>
      </x:c>
      <x:c r="F335" s="176" t="str">
        <x:v>状态</x:v>
      </x:c>
      <x:c r="G335" s="176" t="str">
        <x:v>说明</x:v>
      </x:c>
      <x:c r="H335" s="184"/>
    </x:row>
    <x:row r="336">
      <x:c r="A336" s="177" t="str">
        <x:v>R11-DYN-base-EPS-2026</x:v>
      </x:c>
      <x:c r="B336" s="177" t="str">
        <x:v>2026EPS勾稽</x:v>
      </x:c>
      <x:c r="C336" s="230" t="n">
        <x:f>'同业估值'!F5*'同业估值'!$C$32/100000000</x:f>
        <x:v>0.8231908704000006</x:v>
      </x:c>
      <x:c r="D336" s="230" t="n">
        <x:f>'同业估值'!E5</x:f>
        <x:v>0.8231908704000006</x:v>
      </x:c>
      <x:c r="E336" s="230" t="n">
        <x:f>C336-D336</x:f>
        <x:v>0</x:v>
      </x:c>
      <x:c r="F336" s="177" t="str">
        <x:f>IF(ABS(E336)&lt;0.000001,"PASS","FAIL")</x:f>
        <x:v>PASS</x:v>
      </x:c>
      <x:c r="G336" s="177" t="str">
        <x:v>每股收益×总股本等于归母净利润</x:v>
      </x:c>
      <x:c r="H336" s="184"/>
    </x:row>
    <x:row r="337">
      <x:c r="A337" s="177" t="str">
        <x:v>R11-DYN-base-EPS-2027</x:v>
      </x:c>
      <x:c r="B337" s="177" t="str">
        <x:v>2027EPS勾稽</x:v>
      </x:c>
      <x:c r="C337" s="230" t="n">
        <x:f>'同业估值'!F6*'同业估值'!$C$32/100000000</x:f>
        <x:v>8.453124351300003</x:v>
      </x:c>
      <x:c r="D337" s="230" t="n">
        <x:f>'同业估值'!E6</x:f>
        <x:v>8.453124351300003</x:v>
      </x:c>
      <x:c r="E337" s="230" t="n">
        <x:f>C337-D337</x:f>
        <x:v>0</x:v>
      </x:c>
      <x:c r="F337" s="177" t="str">
        <x:f>IF(ABS(E337)&lt;0.000001,"PASS","FAIL")</x:f>
        <x:v>PASS</x:v>
      </x:c>
      <x:c r="G337" s="177" t="str">
        <x:v>每股收益×总股本等于归母净利润</x:v>
      </x:c>
      <x:c r="H337" s="184"/>
    </x:row>
    <x:row r="338">
      <x:c r="A338" s="177" t="str">
        <x:v>R11-DYN-base-EPS-2028</x:v>
      </x:c>
      <x:c r="B338" s="177" t="str">
        <x:v>2028EPS勾稽</x:v>
      </x:c>
      <x:c r="C338" s="230" t="n">
        <x:f>'同业估值'!F7*'同业估值'!$C$32/100000000</x:f>
        <x:v>31.040182043820394</x:v>
      </x:c>
      <x:c r="D338" s="230" t="n">
        <x:f>'同业估值'!E7</x:f>
        <x:v>31.040182043820398</x:v>
      </x:c>
      <x:c r="E338" s="230" t="n">
        <x:f>C338-D338</x:f>
        <x:v>-3.552713678800501e-15</x:v>
      </x:c>
      <x:c r="F338" s="177" t="str">
        <x:f>IF(ABS(E338)&lt;0.000001,"PASS","FAIL")</x:f>
        <x:v>PASS</x:v>
      </x:c>
      <x:c r="G338" s="177" t="str">
        <x:v>每股收益×总股本等于归母净利润</x:v>
      </x:c>
      <x:c r="H338" s="184"/>
    </x:row>
    <x:row r="339">
      <x:c r="A339" s="177" t="str">
        <x:v>DYN-REV-0-2026-0</x:v>
      </x:c>
      <x:c r="B339" s="177" t="str">
        <x:v>审慎情形2026产品1量价份额</x:v>
      </x:c>
      <x:c r="C339" s="230" t="n">
        <x:f>'量价空间'!H6</x:f>
        <x:v>0.6664</x:v>
      </x:c>
      <x:c r="D339" s="230" t="n">
        <x:f>'机会模型'!E5</x:f>
        <x:v>0.6664</x:v>
      </x:c>
      <x:c r="E339" s="230" t="n">
        <x:f>C339-D339</x:f>
        <x:v>0</x:v>
      </x:c>
      <x:c r="F339" s="177" t="str">
        <x:f>IF(ABS(E339)&lt;0.000001,"PASS","FAIL")</x:f>
        <x:v>PASS</x:v>
      </x:c>
      <x:c r="G339" s="177" t="str">
        <x:v>独立量价明细与机会收入相等</x:v>
      </x:c>
      <x:c r="H339" s="184"/>
    </x:row>
    <x:row r="340">
      <x:c r="A340" s="177" t="str">
        <x:v>DYN-REV-0-2026-1</x:v>
      </x:c>
      <x:c r="B340" s="177" t="str">
        <x:v>审慎情形2026产品2量价份额</x:v>
      </x:c>
      <x:c r="C340" s="230" t="n">
        <x:f>'量价空间'!H7</x:f>
        <x:v>0.31320800000000004</x:v>
      </x:c>
      <x:c r="D340" s="230" t="n">
        <x:f>'机会模型'!E6</x:f>
        <x:v>0.31320800000000004</x:v>
      </x:c>
      <x:c r="E340" s="230" t="n">
        <x:f>C340-D340</x:f>
        <x:v>0</x:v>
      </x:c>
      <x:c r="F340" s="177" t="str">
        <x:f>IF(ABS(E340)&lt;0.000001,"PASS","FAIL")</x:f>
        <x:v>PASS</x:v>
      </x:c>
      <x:c r="G340" s="177" t="str">
        <x:v>独立量价明细与机会收入相等</x:v>
      </x:c>
      <x:c r="H340" s="184"/>
    </x:row>
    <x:row r="341">
      <x:c r="A341" s="177" t="str">
        <x:v>DYN-REV-0-2026-2</x:v>
      </x:c>
      <x:c r="B341" s="177" t="str">
        <x:v>审慎情形2026产品3量价份额</x:v>
      </x:c>
      <x:c r="C341" s="230" t="n">
        <x:f>'量价空间'!H8</x:f>
        <x:v>1.2516</x:v>
      </x:c>
      <x:c r="D341" s="230" t="n">
        <x:f>'机会模型'!E7</x:f>
        <x:v>1.2516</x:v>
      </x:c>
      <x:c r="E341" s="230" t="n">
        <x:f>C341-D341</x:f>
        <x:v>0</x:v>
      </x:c>
      <x:c r="F341" s="177" t="str">
        <x:f>IF(ABS(E341)&lt;0.000001,"PASS","FAIL")</x:f>
        <x:v>PASS</x:v>
      </x:c>
      <x:c r="G341" s="177" t="str">
        <x:v>独立量价明细与机会收入相等</x:v>
      </x:c>
      <x:c r="H341" s="184"/>
    </x:row>
    <x:row r="342">
      <x:c r="A342" s="177" t="str">
        <x:v>DYN-REV-0-2026-3</x:v>
      </x:c>
      <x:c r="B342" s="177" t="str">
        <x:v>审慎情形2026产品4量价份额</x:v>
      </x:c>
      <x:c r="C342" s="230" t="n">
        <x:f>'量价空间'!H9</x:f>
        <x:v>0.69092352</x:v>
      </x:c>
      <x:c r="D342" s="230" t="n">
        <x:f>'机会模型'!E8</x:f>
        <x:v>0.69092352</x:v>
      </x:c>
      <x:c r="E342" s="230" t="n">
        <x:f>C342-D342</x:f>
        <x:v>0</x:v>
      </x:c>
      <x:c r="F342" s="177" t="str">
        <x:f>IF(ABS(E342)&lt;0.000001,"PASS","FAIL")</x:f>
        <x:v>PASS</x:v>
      </x:c>
      <x:c r="G342" s="177" t="str">
        <x:v>独立量价明细与机会收入相等</x:v>
      </x:c>
      <x:c r="H342" s="184"/>
    </x:row>
    <x:row r="343">
      <x:c r="A343" s="177" t="str">
        <x:v>DYN-REV-0-2026-4</x:v>
      </x:c>
      <x:c r="B343" s="177" t="str">
        <x:v>审慎情形2026产品5量价份额</x:v>
      </x:c>
      <x:c r="C343" s="230" t="n">
        <x:f>'量价空间'!H10</x:f>
        <x:v>1.1280384</x:v>
      </x:c>
      <x:c r="D343" s="230" t="n">
        <x:f>'机会模型'!E9</x:f>
        <x:v>1.1280384</x:v>
      </x:c>
      <x:c r="E343" s="230" t="n">
        <x:f>C343-D343</x:f>
        <x:v>0</x:v>
      </x:c>
      <x:c r="F343" s="177" t="str">
        <x:f>IF(ABS(E343)&lt;0.000001,"PASS","FAIL")</x:f>
        <x:v>PASS</x:v>
      </x:c>
      <x:c r="G343" s="177" t="str">
        <x:v>独立量价明细与机会收入相等</x:v>
      </x:c>
      <x:c r="H343" s="184"/>
    </x:row>
    <x:row r="344">
      <x:c r="A344" s="177" t="str">
        <x:v>DYN-REV-0-2026-5</x:v>
      </x:c>
      <x:c r="B344" s="177" t="str">
        <x:v>审慎情形2026产品6量价份额</x:v>
      </x:c>
      <x:c r="C344" s="230" t="n">
        <x:f>'量价空间'!H11</x:f>
        <x:v>0.5483520000000001</x:v>
      </x:c>
      <x:c r="D344" s="230" t="n">
        <x:f>'机会模型'!E10</x:f>
        <x:v>0.5483520000000001</x:v>
      </x:c>
      <x:c r="E344" s="230" t="n">
        <x:f>C344-D344</x:f>
        <x:v>0</x:v>
      </x:c>
      <x:c r="F344" s="177" t="str">
        <x:f>IF(ABS(E344)&lt;0.000001,"PASS","FAIL")</x:f>
        <x:v>PASS</x:v>
      </x:c>
      <x:c r="G344" s="177" t="str">
        <x:v>独立量价明细与机会收入相等</x:v>
      </x:c>
      <x:c r="H344" s="184"/>
    </x:row>
    <x:row r="345">
      <x:c r="A345" s="177" t="str">
        <x:v>DYN-REV-0-2026-6</x:v>
      </x:c>
      <x:c r="B345" s="177" t="str">
        <x:v>审慎情形2026产品7量价份额</x:v>
      </x:c>
      <x:c r="C345" s="230" t="n">
        <x:f>'量价空间'!H12</x:f>
        <x:v>0.030464000000000005</x:v>
      </x:c>
      <x:c r="D345" s="230" t="n">
        <x:f>'机会模型'!E11</x:f>
        <x:v>0.030464000000000005</x:v>
      </x:c>
      <x:c r="E345" s="230" t="n">
        <x:f>C345-D345</x:f>
        <x:v>0</x:v>
      </x:c>
      <x:c r="F345" s="177" t="str">
        <x:f>IF(ABS(E345)&lt;0.000001,"PASS","FAIL")</x:f>
        <x:v>PASS</x:v>
      </x:c>
      <x:c r="G345" s="177" t="str">
        <x:v>独立量价明细与机会收入相等</x:v>
      </x:c>
      <x:c r="H345" s="184"/>
    </x:row>
    <x:row r="346">
      <x:c r="A346" s="177" t="str">
        <x:v>DYN-REV-0-2027-0</x:v>
      </x:c>
      <x:c r="B346" s="177" t="str">
        <x:v>审慎情形2027产品1量价份额</x:v>
      </x:c>
      <x:c r="C346" s="230" t="n">
        <x:f>'量价空间'!H13</x:f>
        <x:v>1.7747999999999997</x:v>
      </x:c>
      <x:c r="D346" s="230" t="n">
        <x:f>'机会模型'!F5</x:f>
        <x:v>1.7747999999999997</x:v>
      </x:c>
      <x:c r="E346" s="230" t="n">
        <x:f>C346-D346</x:f>
        <x:v>0</x:v>
      </x:c>
      <x:c r="F346" s="177" t="str">
        <x:f>IF(ABS(E346)&lt;0.000001,"PASS","FAIL")</x:f>
        <x:v>PASS</x:v>
      </x:c>
      <x:c r="G346" s="177" t="str">
        <x:v>独立量价明细与机会收入相等</x:v>
      </x:c>
      <x:c r="H346" s="184"/>
    </x:row>
    <x:row r="347">
      <x:c r="A347" s="177" t="str">
        <x:v>DYN-REV-0-2027-1</x:v>
      </x:c>
      <x:c r="B347" s="177" t="str">
        <x:v>审慎情形2027产品2量价份额</x:v>
      </x:c>
      <x:c r="C347" s="230" t="n">
        <x:f>'量价空间'!H14</x:f>
        <x:v>2.193408</x:v>
      </x:c>
      <x:c r="D347" s="230" t="n">
        <x:f>'机会模型'!F6</x:f>
        <x:v>2.193408</x:v>
      </x:c>
      <x:c r="E347" s="230" t="n">
        <x:f>C347-D347</x:f>
        <x:v>0</x:v>
      </x:c>
      <x:c r="F347" s="177" t="str">
        <x:f>IF(ABS(E347)&lt;0.000001,"PASS","FAIL")</x:f>
        <x:v>PASS</x:v>
      </x:c>
      <x:c r="G347" s="177" t="str">
        <x:v>独立量价明细与机会收入相等</x:v>
      </x:c>
      <x:c r="H347" s="184"/>
    </x:row>
    <x:row r="348">
      <x:c r="A348" s="177" t="str">
        <x:v>DYN-REV-0-2027-2</x:v>
      </x:c>
      <x:c r="B348" s="177" t="str">
        <x:v>审慎情形2027产品3量价份额</x:v>
      </x:c>
      <x:c r="C348" s="230" t="n">
        <x:f>'量价空间'!H15</x:f>
        <x:v>6.662826666666666</x:v>
      </x:c>
      <x:c r="D348" s="230" t="n">
        <x:f>'机会模型'!F7</x:f>
        <x:v>6.662826666666666</x:v>
      </x:c>
      <x:c r="E348" s="230" t="n">
        <x:f>C348-D348</x:f>
        <x:v>0</x:v>
      </x:c>
      <x:c r="F348" s="177" t="str">
        <x:f>IF(ABS(E348)&lt;0.000001,"PASS","FAIL")</x:f>
        <x:v>PASS</x:v>
      </x:c>
      <x:c r="G348" s="177" t="str">
        <x:v>独立量价明细与机会收入相等</x:v>
      </x:c>
      <x:c r="H348" s="184"/>
    </x:row>
    <x:row r="349">
      <x:c r="A349" s="177" t="str">
        <x:v>DYN-REV-0-2027-3</x:v>
      </x:c>
      <x:c r="B349" s="177" t="str">
        <x:v>审慎情形2027产品4量价份额</x:v>
      </x:c>
      <x:c r="C349" s="230" t="n">
        <x:f>'量价空间'!H16</x:f>
        <x:v>6.2390272</x:v>
      </x:c>
      <x:c r="D349" s="230" t="n">
        <x:f>'机会模型'!F8</x:f>
        <x:v>6.2390272</x:v>
      </x:c>
      <x:c r="E349" s="230" t="n">
        <x:f>C349-D349</x:f>
        <x:v>0</x:v>
      </x:c>
      <x:c r="F349" s="177" t="str">
        <x:f>IF(ABS(E349)&lt;0.000001,"PASS","FAIL")</x:f>
        <x:v>PASS</x:v>
      </x:c>
      <x:c r="G349" s="177" t="str">
        <x:v>独立量价明细与机会收入相等</x:v>
      </x:c>
      <x:c r="H349" s="184"/>
    </x:row>
    <x:row r="350">
      <x:c r="A350" s="177" t="str">
        <x:v>DYN-REV-0-2027-4</x:v>
      </x:c>
      <x:c r="B350" s="177" t="str">
        <x:v>审慎情形2027产品5量价份额</x:v>
      </x:c>
      <x:c r="C350" s="230" t="n">
        <x:f>'量价空间'!H17</x:f>
        <x:v>9.0243072</x:v>
      </x:c>
      <x:c r="D350" s="230" t="n">
        <x:f>'机会模型'!F9</x:f>
        <x:v>9.0243072</x:v>
      </x:c>
      <x:c r="E350" s="230" t="n">
        <x:f>C350-D350</x:f>
        <x:v>0</x:v>
      </x:c>
      <x:c r="F350" s="177" t="str">
        <x:f>IF(ABS(E350)&lt;0.000001,"PASS","FAIL")</x:f>
        <x:v>PASS</x:v>
      </x:c>
      <x:c r="G350" s="177" t="str">
        <x:v>独立量价明细与机会收入相等</x:v>
      </x:c>
      <x:c r="H350" s="184"/>
    </x:row>
    <x:row r="351">
      <x:c r="A351" s="177" t="str">
        <x:v>DYN-REV-0-2027-5</x:v>
      </x:c>
      <x:c r="B351" s="177" t="str">
        <x:v>审慎情形2027产品6量价份额</x:v>
      </x:c>
      <x:c r="C351" s="230" t="n">
        <x:f>'量价空间'!H18</x:f>
        <x:v>4.456448000000001</x:v>
      </x:c>
      <x:c r="D351" s="230" t="n">
        <x:f>'机会模型'!F10</x:f>
        <x:v>4.456448000000001</x:v>
      </x:c>
      <x:c r="E351" s="230" t="n">
        <x:f>C351-D351</x:f>
        <x:v>0</x:v>
      </x:c>
      <x:c r="F351" s="177" t="str">
        <x:f>IF(ABS(E351)&lt;0.000001,"PASS","FAIL")</x:f>
        <x:v>PASS</x:v>
      </x:c>
      <x:c r="G351" s="177" t="str">
        <x:v>独立量价明细与机会收入相等</x:v>
      </x:c>
      <x:c r="H351" s="184"/>
    </x:row>
    <x:row r="352">
      <x:c r="A352" s="177" t="str">
        <x:v>DYN-REV-0-2027-6</x:v>
      </x:c>
      <x:c r="B352" s="177" t="str">
        <x:v>审慎情形2027产品7量价份额</x:v>
      </x:c>
      <x:c r="C352" s="230" t="n">
        <x:f>'量价空间'!H19</x:f>
        <x:v>0.9284266666666666</x:v>
      </x:c>
      <x:c r="D352" s="230" t="n">
        <x:f>'机会模型'!F11</x:f>
        <x:v>0.9284266666666666</x:v>
      </x:c>
      <x:c r="E352" s="230" t="n">
        <x:f>C352-D352</x:f>
        <x:v>0</x:v>
      </x:c>
      <x:c r="F352" s="177" t="str">
        <x:f>IF(ABS(E352)&lt;0.000001,"PASS","FAIL")</x:f>
        <x:v>PASS</x:v>
      </x:c>
      <x:c r="G352" s="177" t="str">
        <x:v>独立量价明细与机会收入相等</x:v>
      </x:c>
      <x:c r="H352" s="184"/>
    </x:row>
    <x:row r="353">
      <x:c r="A353" s="177" t="str">
        <x:v>DYN-REV-0-2028-0</x:v>
      </x:c>
      <x:c r="B353" s="177" t="str">
        <x:v>审慎情形2028产品1量价份额</x:v>
      </x:c>
      <x:c r="C353" s="230" t="n">
        <x:f>'量价空间'!H20</x:f>
        <x:v>1.17045</x:v>
      </x:c>
      <x:c r="D353" s="230" t="n">
        <x:f>'机会模型'!G5</x:f>
        <x:v>1.17045</x:v>
      </x:c>
      <x:c r="E353" s="230" t="n">
        <x:f>C353-D353</x:f>
        <x:v>0</x:v>
      </x:c>
      <x:c r="F353" s="177" t="str">
        <x:f>IF(ABS(E353)&lt;0.000001,"PASS","FAIL")</x:f>
        <x:v>PASS</x:v>
      </x:c>
      <x:c r="G353" s="177" t="str">
        <x:v>独立量价明细与机会收入相等</x:v>
      </x:c>
      <x:c r="H353" s="184"/>
    </x:row>
    <x:row r="354">
      <x:c r="A354" s="177" t="str">
        <x:v>DYN-REV-0-2028-1</x:v>
      </x:c>
      <x:c r="B354" s="177" t="str">
        <x:v>审慎情形2028产品2量价份额</x:v>
      </x:c>
      <x:c r="C354" s="230" t="n">
        <x:f>'量价空间'!H21</x:f>
        <x:v>3.4411230000000006</x:v>
      </x:c>
      <x:c r="D354" s="230" t="n">
        <x:f>'机会模型'!G6</x:f>
        <x:v>3.4411230000000006</x:v>
      </x:c>
      <x:c r="E354" s="230" t="n">
        <x:f>C354-D354</x:f>
        <x:v>0</x:v>
      </x:c>
      <x:c r="F354" s="177" t="str">
        <x:f>IF(ABS(E354)&lt;0.000001,"PASS","FAIL")</x:f>
        <x:v>PASS</x:v>
      </x:c>
      <x:c r="G354" s="177" t="str">
        <x:v>独立量价明细与机会收入相等</x:v>
      </x:c>
      <x:c r="H354" s="184"/>
    </x:row>
    <x:row r="355">
      <x:c r="A355" s="177" t="str">
        <x:v>DYN-REV-0-2028-2</x:v>
      </x:c>
      <x:c r="B355" s="177" t="str">
        <x:v>审慎情形2028产品3量价份额</x:v>
      </x:c>
      <x:c r="C355" s="230" t="n">
        <x:f>'量价空间'!H22</x:f>
        <x:v>12.678681599999997</x:v>
      </x:c>
      <x:c r="D355" s="230" t="n">
        <x:f>'机会模型'!G7</x:f>
        <x:v>12.678681599999997</x:v>
      </x:c>
      <x:c r="E355" s="230" t="n">
        <x:f>C355-D355</x:f>
        <x:v>0</x:v>
      </x:c>
      <x:c r="F355" s="177" t="str">
        <x:f>IF(ABS(E355)&lt;0.000001,"PASS","FAIL")</x:f>
        <x:v>PASS</x:v>
      </x:c>
      <x:c r="G355" s="177" t="str">
        <x:v>独立量价明细与机会收入相等</x:v>
      </x:c>
      <x:c r="H355" s="184"/>
    </x:row>
    <x:row r="356">
      <x:c r="A356" s="177" t="str">
        <x:v>DYN-REV-0-2028-3</x:v>
      </x:c>
      <x:c r="B356" s="177" t="str">
        <x:v>审慎情形2028产品4量价份额</x:v>
      </x:c>
      <x:c r="C356" s="230" t="n">
        <x:f>'量价空间'!H23</x:f>
        <x:v>24.968001945599998</x:v>
      </x:c>
      <x:c r="D356" s="230" t="n">
        <x:f>'机会模型'!G8</x:f>
        <x:v>24.968001945599998</x:v>
      </x:c>
      <x:c r="E356" s="230" t="n">
        <x:f>C356-D356</x:f>
        <x:v>0</x:v>
      </x:c>
      <x:c r="F356" s="177" t="str">
        <x:f>IF(ABS(E356)&lt;0.000001,"PASS","FAIL")</x:f>
        <x:v>PASS</x:v>
      </x:c>
      <x:c r="G356" s="177" t="str">
        <x:v>独立量价明细与机会收入相等</x:v>
      </x:c>
      <x:c r="H356" s="184"/>
    </x:row>
    <x:row r="357">
      <x:c r="A357" s="177" t="str">
        <x:v>DYN-REV-0-2028-4</x:v>
      </x:c>
      <x:c r="B357" s="177" t="str">
        <x:v>审慎情形2028产品5量价份额</x:v>
      </x:c>
      <x:c r="C357" s="230" t="n">
        <x:f>'量价空间'!H24</x:f>
        <x:v>32.487505920000004</x:v>
      </x:c>
      <x:c r="D357" s="230" t="n">
        <x:f>'机会模型'!G9</x:f>
        <x:v>32.487505920000004</x:v>
      </x:c>
      <x:c r="E357" s="230" t="n">
        <x:f>C357-D357</x:f>
        <x:v>0</x:v>
      </x:c>
      <x:c r="F357" s="177" t="str">
        <x:f>IF(ABS(E357)&lt;0.000001,"PASS","FAIL")</x:f>
        <x:v>PASS</x:v>
      </x:c>
      <x:c r="G357" s="177" t="str">
        <x:v>独立量价明细与机会收入相等</x:v>
      </x:c>
      <x:c r="H357" s="184"/>
    </x:row>
    <x:row r="358">
      <x:c r="A358" s="177" t="str">
        <x:v>DYN-REV-0-2028-5</x:v>
      </x:c>
      <x:c r="B358" s="177" t="str">
        <x:v>审慎情形2028产品6量价份额</x:v>
      </x:c>
      <x:c r="C358" s="230" t="n">
        <x:f>'量价空间'!H25</x:f>
        <x:v>10.689208319999999</x:v>
      </x:c>
      <x:c r="D358" s="230" t="n">
        <x:f>'机会模型'!G10</x:f>
        <x:v>10.689208319999999</x:v>
      </x:c>
      <x:c r="E358" s="230" t="n">
        <x:f>C358-D358</x:f>
        <x:v>0</x:v>
      </x:c>
      <x:c r="F358" s="177" t="str">
        <x:f>IF(ABS(E358)&lt;0.000001,"PASS","FAIL")</x:f>
        <x:v>PASS</x:v>
      </x:c>
      <x:c r="G358" s="177" t="str">
        <x:v>独立量价明细与机会收入相等</x:v>
      </x:c>
      <x:c r="H358" s="184"/>
    </x:row>
    <x:row r="359">
      <x:c r="A359" s="177" t="str">
        <x:v>DYN-REV-0-2028-6</x:v>
      </x:c>
      <x:c r="B359" s="177" t="str">
        <x:v>审慎情形2028产品7量价份额</x:v>
      </x:c>
      <x:c r="C359" s="230" t="n">
        <x:f>'量价空间'!H26</x:f>
        <x:v>3.8471680000000004</x:v>
      </x:c>
      <x:c r="D359" s="230" t="n">
        <x:f>'机会模型'!G11</x:f>
        <x:v>3.8471680000000004</x:v>
      </x:c>
      <x:c r="E359" s="230" t="n">
        <x:f>C359-D359</x:f>
        <x:v>0</x:v>
      </x:c>
      <x:c r="F359" s="177" t="str">
        <x:f>IF(ABS(E359)&lt;0.000001,"PASS","FAIL")</x:f>
        <x:v>PASS</x:v>
      </x:c>
      <x:c r="G359" s="177" t="str">
        <x:v>独立量价明细与机会收入相等</x:v>
      </x:c>
      <x:c r="H359" s="184"/>
    </x:row>
    <x:row r="360">
      <x:c r="A360" s="177" t="str">
        <x:v>DYN-REV-0-2029-0</x:v>
      </x:c>
      <x:c r="B360" s="177" t="str">
        <x:v>审慎情形2029产品1量价份额</x:v>
      </x:c>
      <x:c r="C360" s="230" t="n">
        <x:f>'量价空间'!H27</x:f>
        <x:v>0.7138368</x:v>
      </x:c>
      <x:c r="D360" s="230" t="n">
        <x:f>'机会模型'!H5</x:f>
        <x:v>0.7138368</x:v>
      </x:c>
      <x:c r="E360" s="230" t="n">
        <x:f>C360-D360</x:f>
        <x:v>0</x:v>
      </x:c>
      <x:c r="F360" s="177" t="str">
        <x:f>IF(ABS(E360)&lt;0.000001,"PASS","FAIL")</x:f>
        <x:v>PASS</x:v>
      </x:c>
      <x:c r="G360" s="177" t="str">
        <x:v>独立量价明细与机会收入相等</x:v>
      </x:c>
      <x:c r="H360" s="184"/>
    </x:row>
    <x:row r="361">
      <x:c r="A361" s="177" t="str">
        <x:v>DYN-REV-0-2029-1</x:v>
      </x:c>
      <x:c r="B361" s="177" t="str">
        <x:v>审慎情形2029产品2量价份额</x:v>
      </x:c>
      <x:c r="C361" s="230" t="n">
        <x:f>'量价空间'!H28</x:f>
        <x:v>4.5284021999999995</x:v>
      </x:c>
      <x:c r="D361" s="230" t="n">
        <x:f>'机会模型'!H6</x:f>
        <x:v>4.5284021999999995</x:v>
      </x:c>
      <x:c r="E361" s="230" t="n">
        <x:f>C361-D361</x:f>
        <x:v>0</x:v>
      </x:c>
      <x:c r="F361" s="177" t="str">
        <x:f>IF(ABS(E361)&lt;0.000001,"PASS","FAIL")</x:f>
        <x:v>PASS</x:v>
      </x:c>
      <x:c r="G361" s="177" t="str">
        <x:v>独立量价明细与机会收入相等</x:v>
      </x:c>
      <x:c r="H361" s="184"/>
    </x:row>
    <x:row r="362">
      <x:c r="A362" s="177" t="str">
        <x:v>DYN-REV-0-2029-2</x:v>
      </x:c>
      <x:c r="B362" s="177" t="str">
        <x:v>审慎情形2029产品3量价份额</x:v>
      </x:c>
      <x:c r="C362" s="230" t="n">
        <x:f>'量价空间'!H29</x:f>
        <x:v>19.223764992</x:v>
      </x:c>
      <x:c r="D362" s="230" t="n">
        <x:f>'机会模型'!H7</x:f>
        <x:v>19.223764992</x:v>
      </x:c>
      <x:c r="E362" s="230" t="n">
        <x:f>C362-D362</x:f>
        <x:v>0</x:v>
      </x:c>
      <x:c r="F362" s="177" t="str">
        <x:f>IF(ABS(E362)&lt;0.000001,"PASS","FAIL")</x:f>
        <x:v>PASS</x:v>
      </x:c>
      <x:c r="G362" s="177" t="str">
        <x:v>独立量价明细与机会收入相等</x:v>
      </x:c>
      <x:c r="H362" s="184"/>
    </x:row>
    <x:row r="363">
      <x:c r="A363" s="177" t="str">
        <x:v>DYN-REV-0-2029-3</x:v>
      </x:c>
      <x:c r="B363" s="177" t="str">
        <x:v>审慎情形2029产品4量价份额</x:v>
      </x:c>
      <x:c r="C363" s="230" t="n">
        <x:f>'量价空间'!H30</x:f>
        <x:v>55.072566226944005</x:v>
      </x:c>
      <x:c r="D363" s="230" t="n">
        <x:f>'机会模型'!H8</x:f>
        <x:v>55.072566226944005</x:v>
      </x:c>
      <x:c r="E363" s="230" t="n">
        <x:f>C363-D363</x:f>
        <x:v>0</x:v>
      </x:c>
      <x:c r="F363" s="177" t="str">
        <x:f>IF(ABS(E363)&lt;0.000001,"PASS","FAIL")</x:f>
        <x:v>PASS</x:v>
      </x:c>
      <x:c r="G363" s="177" t="str">
        <x:v>独立量价明细与机会收入相等</x:v>
      </x:c>
      <x:c r="H363" s="184"/>
    </x:row>
    <x:row r="364">
      <x:c r="A364" s="177" t="str">
        <x:v>DYN-REV-0-2029-4</x:v>
      </x:c>
      <x:c r="B364" s="177" t="str">
        <x:v>审慎情形2029产品5量价份额</x:v>
      </x:c>
      <x:c r="C364" s="230" t="n">
        <x:f>'量价空间'!H31</x:f>
        <x:v>61.3557006336</x:v>
      </x:c>
      <x:c r="D364" s="230" t="n">
        <x:f>'机会模型'!H9</x:f>
        <x:v>61.3557006336</x:v>
      </x:c>
      <x:c r="E364" s="230" t="n">
        <x:f>C364-D364</x:f>
        <x:v>0</x:v>
      </x:c>
      <x:c r="F364" s="177" t="str">
        <x:f>IF(ABS(E364)&lt;0.000001,"PASS","FAIL")</x:f>
        <x:v>PASS</x:v>
      </x:c>
      <x:c r="G364" s="177" t="str">
        <x:v>独立量价明细与机会收入相等</x:v>
      </x:c>
      <x:c r="H364" s="184"/>
    </x:row>
    <x:row r="365">
      <x:c r="A365" s="177" t="str">
        <x:v>DYN-REV-0-2029-5</x:v>
      </x:c>
      <x:c r="B365" s="177" t="str">
        <x:v>审慎情形2029产品6量价份额</x:v>
      </x:c>
      <x:c r="C365" s="230" t="n">
        <x:f>'量价空间'!H32</x:f>
        <x:v>18.121936896</x:v>
      </x:c>
      <x:c r="D365" s="230" t="n">
        <x:f>'机会模型'!H10</x:f>
        <x:v>18.121936896</x:v>
      </x:c>
      <x:c r="E365" s="230" t="n">
        <x:f>C365-D365</x:f>
        <x:v>0</x:v>
      </x:c>
      <x:c r="F365" s="177" t="str">
        <x:f>IF(ABS(E365)&lt;0.000001,"PASS","FAIL")</x:f>
        <x:v>PASS</x:v>
      </x:c>
      <x:c r="G365" s="177" t="str">
        <x:v>独立量价明细与机会收入相等</x:v>
      </x:c>
      <x:c r="H365" s="184"/>
    </x:row>
    <x:row r="366">
      <x:c r="A366" s="177" t="str">
        <x:v>DYN-REV-0-2029-6</x:v>
      </x:c>
      <x:c r="B366" s="177" t="str">
        <x:v>审慎情形2029产品7量价份额</x:v>
      </x:c>
      <x:c r="C366" s="230" t="n">
        <x:f>'量价空间'!H33</x:f>
        <x:v>8.281583999999999</x:v>
      </x:c>
      <x:c r="D366" s="230" t="n">
        <x:f>'机会模型'!H11</x:f>
        <x:v>8.281583999999999</x:v>
      </x:c>
      <x:c r="E366" s="230" t="n">
        <x:f>C366-D366</x:f>
        <x:v>0</x:v>
      </x:c>
      <x:c r="F366" s="177" t="str">
        <x:f>IF(ABS(E366)&lt;0.000001,"PASS","FAIL")</x:f>
        <x:v>PASS</x:v>
      </x:c>
      <x:c r="G366" s="177" t="str">
        <x:v>独立量价明细与机会收入相等</x:v>
      </x:c>
      <x:c r="H366" s="184"/>
    </x:row>
    <x:row r="367">
      <x:c r="A367" s="177" t="str">
        <x:v>DYN-REV-0-2030-0</x:v>
      </x:c>
      <x:c r="B367" s="177" t="str">
        <x:v>审慎情形2030产品1量价份额</x:v>
      </x:c>
      <x:c r="C367" s="230" t="n">
        <x:f>'量价空间'!H34</x:f>
        <x:v>0.36137988000000004</x:v>
      </x:c>
      <x:c r="D367" s="230" t="n">
        <x:f>'机会模型'!I5</x:f>
        <x:v>0.36137988000000004</x:v>
      </x:c>
      <x:c r="E367" s="230" t="n">
        <x:f>C367-D367</x:f>
        <x:v>0</x:v>
      </x:c>
      <x:c r="F367" s="177" t="str">
        <x:f>IF(ABS(E367)&lt;0.000001,"PASS","FAIL")</x:f>
        <x:v>PASS</x:v>
      </x:c>
      <x:c r="G367" s="177" t="str">
        <x:v>独立量价明细与机会收入相等</x:v>
      </x:c>
      <x:c r="H367" s="184"/>
    </x:row>
    <x:row r="368">
      <x:c r="A368" s="177" t="str">
        <x:v>DYN-REV-0-2030-1</x:v>
      </x:c>
      <x:c r="B368" s="177" t="str">
        <x:v>审慎情形2030产品2量价份额</x:v>
      </x:c>
      <x:c r="C368" s="230" t="n">
        <x:f>'量价空间'!H35</x:f>
        <x:v>4.49717184</x:v>
      </x:c>
      <x:c r="D368" s="230" t="n">
        <x:f>'机会模型'!I6</x:f>
        <x:v>4.49717184</x:v>
      </x:c>
      <x:c r="E368" s="230" t="n">
        <x:f>C368-D368</x:f>
        <x:v>0</x:v>
      </x:c>
      <x:c r="F368" s="177" t="str">
        <x:f>IF(ABS(E368)&lt;0.000001,"PASS","FAIL")</x:f>
        <x:v>PASS</x:v>
      </x:c>
      <x:c r="G368" s="177" t="str">
        <x:v>独立量价明细与机会收入相等</x:v>
      </x:c>
      <x:c r="H368" s="184"/>
    </x:row>
    <x:row r="369">
      <x:c r="A369" s="177" t="str">
        <x:v>DYN-REV-0-2030-2</x:v>
      </x:c>
      <x:c r="B369" s="177" t="str">
        <x:v>审慎情形2030产品3量价份额</x:v>
      </x:c>
      <x:c r="C369" s="230" t="n">
        <x:f>'量价空间'!H36</x:f>
        <x:v>23.468434560000006</x:v>
      </x:c>
      <x:c r="D369" s="230" t="n">
        <x:f>'机会模型'!I7</x:f>
        <x:v>23.468434560000006</x:v>
      </x:c>
      <x:c r="E369" s="230" t="n">
        <x:f>C369-D369</x:f>
        <x:v>0</x:v>
      </x:c>
      <x:c r="F369" s="177" t="str">
        <x:f>IF(ABS(E369)&lt;0.000001,"PASS","FAIL")</x:f>
        <x:v>PASS</x:v>
      </x:c>
      <x:c r="G369" s="177" t="str">
        <x:v>独立量价明细与机会收入相等</x:v>
      </x:c>
      <x:c r="H369" s="184"/>
    </x:row>
    <x:row r="370">
      <x:c r="A370" s="177" t="str">
        <x:v>DYN-REV-0-2030-3</x:v>
      </x:c>
      <x:c r="B370" s="177" t="str">
        <x:v>审慎情形2030产品4量价份额</x:v>
      </x:c>
      <x:c r="C370" s="230" t="n">
        <x:f>'量价空间'!H37</x:f>
        <x:v>84.54970878197763</x:v>
      </x:c>
      <x:c r="D370" s="230" t="n">
        <x:f>'机会模型'!I8</x:f>
        <x:v>84.54970878197763</x:v>
      </x:c>
      <x:c r="E370" s="230" t="n">
        <x:f>C370-D370</x:f>
        <x:v>0</x:v>
      </x:c>
      <x:c r="F370" s="177" t="str">
        <x:f>IF(ABS(E370)&lt;0.000001,"PASS","FAIL")</x:f>
        <x:v>PASS</x:v>
      </x:c>
      <x:c r="G370" s="177" t="str">
        <x:v>独立量价明细与机会收入相等</x:v>
      </x:c>
      <x:c r="H370" s="184"/>
    </x:row>
    <x:row r="371">
      <x:c r="A371" s="177" t="str">
        <x:v>DYN-REV-0-2030-4</x:v>
      </x:c>
      <x:c r="B371" s="177" t="str">
        <x:v>审慎情形2030产品5量价份额</x:v>
      </x:c>
      <x:c r="C371" s="230" t="n">
        <x:f>'量价空间'!H38</x:f>
        <x:v>86.83910332416</x:v>
      </x:c>
      <x:c r="D371" s="230" t="n">
        <x:f>'机会模型'!I9</x:f>
        <x:v>86.83910332416</x:v>
      </x:c>
      <x:c r="E371" s="230" t="n">
        <x:f>C371-D371</x:f>
        <x:v>0</x:v>
      </x:c>
      <x:c r="F371" s="177" t="str">
        <x:f>IF(ABS(E371)&lt;0.000001,"PASS","FAIL")</x:f>
        <x:v>PASS</x:v>
      </x:c>
      <x:c r="G371" s="177" t="str">
        <x:v>独立量价明细与机会收入相等</x:v>
      </x:c>
      <x:c r="H371" s="184"/>
    </x:row>
    <x:row r="372">
      <x:c r="A372" s="177" t="str">
        <x:v>DYN-REV-0-2030-5</x:v>
      </x:c>
      <x:c r="B372" s="177" t="str">
        <x:v>审慎情形2030产品6量价份额</x:v>
      </x:c>
      <x:c r="C372" s="230" t="n">
        <x:f>'量价空间'!H39</x:f>
        <x:v>23.24481048576</x:v>
      </x:c>
      <x:c r="D372" s="230" t="n">
        <x:f>'机会模型'!I10</x:f>
        <x:v>23.24481048576</x:v>
      </x:c>
      <x:c r="E372" s="230" t="n">
        <x:f>C372-D372</x:f>
        <x:v>0</x:v>
      </x:c>
      <x:c r="F372" s="177" t="str">
        <x:f>IF(ABS(E372)&lt;0.000001,"PASS","FAIL")</x:f>
        <x:v>PASS</x:v>
      </x:c>
      <x:c r="G372" s="177" t="str">
        <x:v>独立量价明细与机会收入相等</x:v>
      </x:c>
      <x:c r="H372" s="184"/>
    </x:row>
    <x:row r="373">
      <x:c r="A373" s="177" t="str">
        <x:v>DYN-REV-0-2030-6</x:v>
      </x:c>
      <x:c r="B373" s="177" t="str">
        <x:v>审慎情形2030产品7量价份额</x:v>
      </x:c>
      <x:c r="C373" s="230" t="n">
        <x:f>'量价空间'!H40</x:f>
        <x:v>13.348454400000003</x:v>
      </x:c>
      <x:c r="D373" s="230" t="n">
        <x:f>'机会模型'!I11</x:f>
        <x:v>13.348454400000003</x:v>
      </x:c>
      <x:c r="E373" s="230" t="n">
        <x:f>C373-D373</x:f>
        <x:v>0</x:v>
      </x:c>
      <x:c r="F373" s="177" t="str">
        <x:f>IF(ABS(E373)&lt;0.000001,"PASS","FAIL")</x:f>
        <x:v>PASS</x:v>
      </x:c>
      <x:c r="G373" s="177" t="str">
        <x:v>独立量价明细与机会收入相等</x:v>
      </x:c>
      <x:c r="H373" s="184"/>
    </x:row>
    <x:row r="374">
      <x:c r="A374" s="177" t="str">
        <x:v>DYN-REV-1-2026-0</x:v>
      </x:c>
      <x:c r="B374" s="177" t="str">
        <x:v>基准情形2026产品1量价份额</x:v>
      </x:c>
      <x:c r="C374" s="230" t="n">
        <x:f>'量价空间'!H45</x:f>
        <x:v>0.8959999999999999</x:v>
      </x:c>
      <x:c r="D374" s="230" t="n">
        <x:f>'机会模型'!K5</x:f>
        <x:v>0.8959999999999999</x:v>
      </x:c>
      <x:c r="E374" s="230" t="n">
        <x:f>C374-D374</x:f>
        <x:v>0</x:v>
      </x:c>
      <x:c r="F374" s="177" t="str">
        <x:f>IF(ABS(E374)&lt;0.000001,"PASS","FAIL")</x:f>
        <x:v>PASS</x:v>
      </x:c>
      <x:c r="G374" s="177" t="str">
        <x:v>独立量价明细与机会收入相等</x:v>
      </x:c>
      <x:c r="H374" s="184"/>
    </x:row>
    <x:row r="375">
      <x:c r="A375" s="177" t="str">
        <x:v>DYN-TAM-2026-0</x:v>
      </x:c>
      <x:c r="B375" s="177" t="str">
        <x:v>2026产品1行业空间</x:v>
      </x:c>
      <x:c r="C375" s="230" t="n">
        <x:f>'量价空间'!F45</x:f>
        <x:v>22.4</x:v>
      </x:c>
      <x:c r="D375" s="230" t="n">
        <x:f>'机会模型'!B17</x:f>
        <x:v>22.4</x:v>
      </x:c>
      <x:c r="E375" s="230" t="n">
        <x:f>C375-D375</x:f>
        <x:v>0</x:v>
      </x:c>
      <x:c r="F375" s="177" t="str">
        <x:f>IF(ABS(E375)&lt;0.000001,"PASS","FAIL")</x:f>
        <x:v>PASS</x:v>
      </x:c>
      <x:c r="G375" s="177" t="str">
        <x:v>组件量×单价与市场空间相等</x:v>
      </x:c>
      <x:c r="H375" s="184"/>
    </x:row>
    <x:row r="376">
      <x:c r="A376" s="177" t="str">
        <x:v>DYN-REV-1-2026-1</x:v>
      </x:c>
      <x:c r="B376" s="177" t="str">
        <x:v>基准情形2026产品2量价份额</x:v>
      </x:c>
      <x:c r="C376" s="230" t="n">
        <x:f>'量价空间'!H46</x:f>
        <x:v>0.42111999999999994</x:v>
      </x:c>
      <x:c r="D376" s="230" t="n">
        <x:f>'机会模型'!K6</x:f>
        <x:v>0.42111999999999994</x:v>
      </x:c>
      <x:c r="E376" s="230" t="n">
        <x:f>C376-D376</x:f>
        <x:v>0</x:v>
      </x:c>
      <x:c r="F376" s="177" t="str">
        <x:f>IF(ABS(E376)&lt;0.000001,"PASS","FAIL")</x:f>
        <x:v>PASS</x:v>
      </x:c>
      <x:c r="G376" s="177" t="str">
        <x:v>独立量价明细与机会收入相等</x:v>
      </x:c>
      <x:c r="H376" s="184"/>
    </x:row>
    <x:row r="377">
      <x:c r="A377" s="177" t="str">
        <x:v>DYN-TAM-2026-1</x:v>
      </x:c>
      <x:c r="B377" s="177" t="str">
        <x:v>2026产品2行业空间</x:v>
      </x:c>
      <x:c r="C377" s="230" t="n">
        <x:f>'量价空间'!F46</x:f>
        <x:v>10.527999999999999</x:v>
      </x:c>
      <x:c r="D377" s="230" t="n">
        <x:f>'机会模型'!B18</x:f>
        <x:v>10.527999999999999</x:v>
      </x:c>
      <x:c r="E377" s="230" t="n">
        <x:f>C377-D377</x:f>
        <x:v>0</x:v>
      </x:c>
      <x:c r="F377" s="177" t="str">
        <x:f>IF(ABS(E377)&lt;0.000001,"PASS","FAIL")</x:f>
        <x:v>PASS</x:v>
      </x:c>
      <x:c r="G377" s="177" t="str">
        <x:v>组件量×单价与市场空间相等</x:v>
      </x:c>
      <x:c r="H377" s="184"/>
    </x:row>
    <x:row r="378">
      <x:c r="A378" s="177" t="str">
        <x:v>DYN-REV-1-2026-2</x:v>
      </x:c>
      <x:c r="B378" s="177" t="str">
        <x:v>基准情形2026产品3量价份额</x:v>
      </x:c>
      <x:c r="C378" s="230" t="n">
        <x:f>'量价空间'!H47</x:f>
        <x:v>1.9072000000000002</x:v>
      </x:c>
      <x:c r="D378" s="230" t="n">
        <x:f>'机会模型'!K7</x:f>
        <x:v>1.9072000000000002</x:v>
      </x:c>
      <x:c r="E378" s="230" t="n">
        <x:f>C378-D378</x:f>
        <x:v>0</x:v>
      </x:c>
      <x:c r="F378" s="177" t="str">
        <x:f>IF(ABS(E378)&lt;0.000001,"PASS","FAIL")</x:f>
        <x:v>PASS</x:v>
      </x:c>
      <x:c r="G378" s="177" t="str">
        <x:v>独立量价明细与机会收入相等</x:v>
      </x:c>
      <x:c r="H378" s="184"/>
    </x:row>
    <x:row r="379">
      <x:c r="A379" s="177" t="str">
        <x:v>DYN-TAM-2026-2</x:v>
      </x:c>
      <x:c r="B379" s="177" t="str">
        <x:v>2026产品3行业空间</x:v>
      </x:c>
      <x:c r="C379" s="230" t="n">
        <x:f>'量价空间'!F47</x:f>
        <x:v>2.048</x:v>
      </x:c>
      <x:c r="D379" s="230" t="n">
        <x:f>'机会模型'!B19</x:f>
        <x:v>2.048</x:v>
      </x:c>
      <x:c r="E379" s="230" t="n">
        <x:f>C379-D379</x:f>
        <x:v>0</x:v>
      </x:c>
      <x:c r="F379" s="177" t="str">
        <x:f>IF(ABS(E379)&lt;0.000001,"PASS","FAIL")</x:f>
        <x:v>PASS</x:v>
      </x:c>
      <x:c r="G379" s="177" t="str">
        <x:v>组件量×单价与市场空间相等</x:v>
      </x:c>
      <x:c r="H379" s="184"/>
    </x:row>
    <x:row r="380">
      <x:c r="A380" s="177" t="str">
        <x:v>DYN-REV-1-2026-3</x:v>
      </x:c>
      <x:c r="B380" s="177" t="str">
        <x:v>基准情形2026产品4量价份额</x:v>
      </x:c>
      <x:c r="C380" s="230" t="n">
        <x:f>'量价空间'!H48</x:f>
        <x:v>0.9289727999999998</x:v>
      </x:c>
      <x:c r="D380" s="230" t="n">
        <x:f>'机会模型'!K8</x:f>
        <x:v>0.9289727999999998</x:v>
      </x:c>
      <x:c r="E380" s="230" t="n">
        <x:f>C380-D380</x:f>
        <x:v>0</x:v>
      </x:c>
      <x:c r="F380" s="177" t="str">
        <x:f>IF(ABS(E380)&lt;0.000001,"PASS","FAIL")</x:f>
        <x:v>PASS</x:v>
      </x:c>
      <x:c r="G380" s="177" t="str">
        <x:v>独立量价明细与机会收入相等</x:v>
      </x:c>
      <x:c r="H380" s="184"/>
    </x:row>
    <x:row r="381">
      <x:c r="A381" s="177" t="str">
        <x:v>DYN-TAM-2026-3</x:v>
      </x:c>
      <x:c r="B381" s="177" t="str">
        <x:v>2026产品4行业空间</x:v>
      </x:c>
      <x:c r="C381" s="230" t="n">
        <x:f>'量价空间'!F48</x:f>
        <x:v>2.0643839999999996</x:v>
      </x:c>
      <x:c r="D381" s="230" t="n">
        <x:f>'机会模型'!B20</x:f>
        <x:v>2.0643839999999996</x:v>
      </x:c>
      <x:c r="E381" s="230" t="n">
        <x:f>C381-D381</x:f>
        <x:v>0</x:v>
      </x:c>
      <x:c r="F381" s="177" t="str">
        <x:f>IF(ABS(E381)&lt;0.000001,"PASS","FAIL")</x:f>
        <x:v>PASS</x:v>
      </x:c>
      <x:c r="G381" s="177" t="str">
        <x:v>组件量×单价与市场空间相等</x:v>
      </x:c>
      <x:c r="H381" s="184"/>
    </x:row>
    <x:row r="382">
      <x:c r="A382" s="177" t="str">
        <x:v>DYN-REV-1-2026-4</x:v>
      </x:c>
      <x:c r="B382" s="177" t="str">
        <x:v>基准情形2026产品5量价份额</x:v>
      </x:c>
      <x:c r="C382" s="230" t="n">
        <x:f>'量价空间'!H49</x:f>
        <x:v>1.327104</x:v>
      </x:c>
      <x:c r="D382" s="230" t="n">
        <x:f>'机会模型'!K9</x:f>
        <x:v>1.327104</x:v>
      </x:c>
      <x:c r="E382" s="230" t="n">
        <x:f>C382-D382</x:f>
        <x:v>0</x:v>
      </x:c>
      <x:c r="F382" s="177" t="str">
        <x:f>IF(ABS(E382)&lt;0.000001,"PASS","FAIL")</x:f>
        <x:v>PASS</x:v>
      </x:c>
      <x:c r="G382" s="177" t="str">
        <x:v>独立量价明细与机会收入相等</x:v>
      </x:c>
      <x:c r="H382" s="184"/>
    </x:row>
    <x:row r="383">
      <x:c r="A383" s="177" t="str">
        <x:v>DYN-TAM-2026-4</x:v>
      </x:c>
      <x:c r="B383" s="177" t="str">
        <x:v>2026产品5行业空间</x:v>
      </x:c>
      <x:c r="C383" s="230" t="n">
        <x:f>'量价空间'!F49</x:f>
        <x:v>2.94912</x:v>
      </x:c>
      <x:c r="D383" s="230" t="n">
        <x:f>'机会模型'!B21</x:f>
        <x:v>2.94912</x:v>
      </x:c>
      <x:c r="E383" s="230" t="n">
        <x:f>C383-D383</x:f>
        <x:v>0</x:v>
      </x:c>
      <x:c r="F383" s="177" t="str">
        <x:f>IF(ABS(E383)&lt;0.000001,"PASS","FAIL")</x:f>
        <x:v>PASS</x:v>
      </x:c>
      <x:c r="G383" s="177" t="str">
        <x:v>组件量×单价与市场空间相等</x:v>
      </x:c>
      <x:c r="H383" s="184"/>
    </x:row>
    <x:row r="384">
      <x:c r="A384" s="177" t="str">
        <x:v>DYN-REV-1-2026-5</x:v>
      </x:c>
      <x:c r="B384" s="177" t="str">
        <x:v>基准情形2026产品6量价份额</x:v>
      </x:c>
      <x:c r="C384" s="230" t="n">
        <x:f>'量价空间'!H50</x:f>
        <x:v>0.73728</x:v>
      </x:c>
      <x:c r="D384" s="230" t="n">
        <x:f>'机会模型'!K10</x:f>
        <x:v>0.73728</x:v>
      </x:c>
      <x:c r="E384" s="230" t="n">
        <x:f>C384-D384</x:f>
        <x:v>0</x:v>
      </x:c>
      <x:c r="F384" s="177" t="str">
        <x:f>IF(ABS(E384)&lt;0.000001,"PASS","FAIL")</x:f>
        <x:v>PASS</x:v>
      </x:c>
      <x:c r="G384" s="177" t="str">
        <x:v>独立量价明细与机会收入相等</x:v>
      </x:c>
      <x:c r="H384" s="184"/>
    </x:row>
    <x:row r="385">
      <x:c r="A385" s="177" t="str">
        <x:v>DYN-TAM-2026-5</x:v>
      </x:c>
      <x:c r="B385" s="177" t="str">
        <x:v>2026产品6行业空间</x:v>
      </x:c>
      <x:c r="C385" s="230" t="n">
        <x:f>'量价空间'!F50</x:f>
        <x:v>1.6384</x:v>
      </x:c>
      <x:c r="D385" s="230" t="n">
        <x:f>'机会模型'!B22</x:f>
        <x:v>1.6384</x:v>
      </x:c>
      <x:c r="E385" s="230" t="n">
        <x:f>C385-D385</x:f>
        <x:v>0</x:v>
      </x:c>
      <x:c r="F385" s="177" t="str">
        <x:f>IF(ABS(E385)&lt;0.000001,"PASS","FAIL")</x:f>
        <x:v>PASS</x:v>
      </x:c>
      <x:c r="G385" s="177" t="str">
        <x:v>组件量×单价与市场空间相等</x:v>
      </x:c>
      <x:c r="H385" s="184"/>
    </x:row>
    <x:row r="386">
      <x:c r="A386" s="177" t="str">
        <x:v>DYN-REV-1-2026-6</x:v>
      </x:c>
      <x:c r="B386" s="177" t="str">
        <x:v>基准情形2026产品7量价份额</x:v>
      </x:c>
      <x:c r="C386" s="230" t="n">
        <x:f>'量价空间'!H51</x:f>
        <x:v>0.04096</x:v>
      </x:c>
      <x:c r="D386" s="230" t="n">
        <x:f>'机会模型'!K11</x:f>
        <x:v>0.04096</x:v>
      </x:c>
      <x:c r="E386" s="230" t="n">
        <x:f>C386-D386</x:f>
        <x:v>0</x:v>
      </x:c>
      <x:c r="F386" s="177" t="str">
        <x:f>IF(ABS(E386)&lt;0.000001,"PASS","FAIL")</x:f>
        <x:v>PASS</x:v>
      </x:c>
      <x:c r="G386" s="177" t="str">
        <x:v>独立量价明细与机会收入相等</x:v>
      </x:c>
      <x:c r="H386" s="184"/>
    </x:row>
    <x:row r="387">
      <x:c r="A387" s="177" t="str">
        <x:v>DYN-TAM-2026-6</x:v>
      </x:c>
      <x:c r="B387" s="177" t="str">
        <x:v>2026产品7行业空间</x:v>
      </x:c>
      <x:c r="C387" s="230" t="n">
        <x:f>'量价空间'!F51</x:f>
        <x:v>0.4096</x:v>
      </x:c>
      <x:c r="D387" s="230" t="n">
        <x:f>'机会模型'!B23</x:f>
        <x:v>0.4096</x:v>
      </x:c>
      <x:c r="E387" s="230" t="n">
        <x:f>C387-D387</x:f>
        <x:v>0</x:v>
      </x:c>
      <x:c r="F387" s="177" t="str">
        <x:f>IF(ABS(E387)&lt;0.000001,"PASS","FAIL")</x:f>
        <x:v>PASS</x:v>
      </x:c>
      <x:c r="G387" s="177" t="str">
        <x:v>组件量×单价与市场空间相等</x:v>
      </x:c>
      <x:c r="H387" s="184"/>
    </x:row>
    <x:row r="388">
      <x:c r="A388" s="177" t="str">
        <x:v>DYN-REV-1-2027-0</x:v>
      </x:c>
      <x:c r="B388" s="177" t="str">
        <x:v>基准情形2027产品1量价份额</x:v>
      </x:c>
      <x:c r="C388" s="230" t="n">
        <x:f>'量价空间'!H52</x:f>
        <x:v>2.349</x:v>
      </x:c>
      <x:c r="D388" s="230" t="n">
        <x:f>'机会模型'!L5</x:f>
        <x:v>2.349</x:v>
      </x:c>
      <x:c r="E388" s="230" t="n">
        <x:f>C388-D388</x:f>
        <x:v>0</x:v>
      </x:c>
      <x:c r="F388" s="177" t="str">
        <x:f>IF(ABS(E388)&lt;0.000001,"PASS","FAIL")</x:f>
        <x:v>PASS</x:v>
      </x:c>
      <x:c r="G388" s="177" t="str">
        <x:v>独立量价明细与机会收入相等</x:v>
      </x:c>
      <x:c r="H388" s="184"/>
    </x:row>
    <x:row r="389">
      <x:c r="A389" s="177" t="str">
        <x:v>DYN-TAM-2027-0</x:v>
      </x:c>
      <x:c r="B389" s="177" t="str">
        <x:v>2027产品1行业空间</x:v>
      </x:c>
      <x:c r="C389" s="230" t="n">
        <x:f>'量价空间'!F52</x:f>
        <x:v>26.1</x:v>
      </x:c>
      <x:c r="D389" s="230" t="n">
        <x:f>'机会模型'!C17</x:f>
        <x:v>26.1</x:v>
      </x:c>
      <x:c r="E389" s="230" t="n">
        <x:f>C389-D389</x:f>
        <x:v>0</x:v>
      </x:c>
      <x:c r="F389" s="177" t="str">
        <x:f>IF(ABS(E389)&lt;0.000001,"PASS","FAIL")</x:f>
        <x:v>PASS</x:v>
      </x:c>
      <x:c r="G389" s="177" t="str">
        <x:v>组件量×单价与市场空间相等</x:v>
      </x:c>
      <x:c r="H389" s="184"/>
    </x:row>
    <x:row r="390">
      <x:c r="A390" s="177" t="str">
        <x:v>DYN-REV-1-2027-1</x:v>
      </x:c>
      <x:c r="B390" s="177" t="str">
        <x:v>基准情形2027产品2量价份额</x:v>
      </x:c>
      <x:c r="C390" s="230" t="n">
        <x:f>'量价空间'!H53</x:f>
        <x:v>2.90304</x:v>
      </x:c>
      <x:c r="D390" s="230" t="n">
        <x:f>'机会模型'!L6</x:f>
        <x:v>2.90304</x:v>
      </x:c>
      <x:c r="E390" s="230" t="n">
        <x:f>C390-D390</x:f>
        <x:v>0</x:v>
      </x:c>
      <x:c r="F390" s="177" t="str">
        <x:f>IF(ABS(E390)&lt;0.000001,"PASS","FAIL")</x:f>
        <x:v>PASS</x:v>
      </x:c>
      <x:c r="G390" s="177" t="str">
        <x:v>独立量价明细与机会收入相等</x:v>
      </x:c>
      <x:c r="H390" s="184"/>
    </x:row>
    <x:row r="391">
      <x:c r="A391" s="177" t="str">
        <x:v>DYN-TAM-2027-1</x:v>
      </x:c>
      <x:c r="B391" s="177" t="str">
        <x:v>2027产品2行业空间</x:v>
      </x:c>
      <x:c r="C391" s="230" t="n">
        <x:f>'量价空间'!F53</x:f>
        <x:v>32.256</x:v>
      </x:c>
      <x:c r="D391" s="230" t="n">
        <x:f>'机会模型'!C18</x:f>
        <x:v>32.256</x:v>
      </x:c>
      <x:c r="E391" s="230" t="n">
        <x:f>C391-D391</x:f>
        <x:v>0</x:v>
      </x:c>
      <x:c r="F391" s="177" t="str">
        <x:f>IF(ABS(E391)&lt;0.000001,"PASS","FAIL")</x:f>
        <x:v>PASS</x:v>
      </x:c>
      <x:c r="G391" s="177" t="str">
        <x:v>组件量×单价与市场空间相等</x:v>
      </x:c>
      <x:c r="H391" s="184"/>
    </x:row>
    <x:row r="392">
      <x:c r="A392" s="177" t="str">
        <x:v>DYN-REV-1-2027-2</x:v>
      </x:c>
      <x:c r="B392" s="177" t="str">
        <x:v>基准情形2027产品3量价份额</x:v>
      </x:c>
      <x:c r="C392" s="230" t="n">
        <x:f>'量价空间'!H54</x:f>
        <x:v>9.994240000000001</x:v>
      </x:c>
      <x:c r="D392" s="230" t="n">
        <x:f>'机会模型'!L7</x:f>
        <x:v>9.994240000000001</x:v>
      </x:c>
      <x:c r="E392" s="230" t="n">
        <x:f>C392-D392</x:f>
        <x:v>0</x:v>
      </x:c>
      <x:c r="F392" s="177" t="str">
        <x:f>IF(ABS(E392)&lt;0.000001,"PASS","FAIL")</x:f>
        <x:v>PASS</x:v>
      </x:c>
      <x:c r="G392" s="177" t="str">
        <x:v>独立量价明细与机会收入相等</x:v>
      </x:c>
      <x:c r="H392" s="184"/>
    </x:row>
    <x:row r="393">
      <x:c r="A393" s="177" t="str">
        <x:v>DYN-TAM-2027-2</x:v>
      </x:c>
      <x:c r="B393" s="177" t="str">
        <x:v>2027产品3行业空间</x:v>
      </x:c>
      <x:c r="C393" s="230" t="n">
        <x:f>'量价空间'!F54</x:f>
        <x:v>10.6496</x:v>
      </x:c>
      <x:c r="D393" s="230" t="n">
        <x:f>'机会模型'!C19</x:f>
        <x:v>10.6496</x:v>
      </x:c>
      <x:c r="E393" s="230" t="n">
        <x:f>C393-D393</x:f>
        <x:v>0</x:v>
      </x:c>
      <x:c r="F393" s="177" t="str">
        <x:f>IF(ABS(E393)&lt;0.000001,"PASS","FAIL")</x:f>
        <x:v>PASS</x:v>
      </x:c>
      <x:c r="G393" s="177" t="str">
        <x:v>组件量×单价与市场空间相等</x:v>
      </x:c>
      <x:c r="H393" s="184"/>
    </x:row>
    <x:row r="394">
      <x:c r="A394" s="177" t="str">
        <x:v>DYN-REV-1-2027-3</x:v>
      </x:c>
      <x:c r="B394" s="177" t="str">
        <x:v>基准情形2027产品4量价份额</x:v>
      </x:c>
      <x:c r="C394" s="230" t="n">
        <x:f>'量价空间'!H55</x:f>
        <x:v>8.257535999999998</x:v>
      </x:c>
      <x:c r="D394" s="230" t="n">
        <x:f>'机会模型'!L8</x:f>
        <x:v>8.257535999999998</x:v>
      </x:c>
      <x:c r="E394" s="230" t="n">
        <x:f>C394-D394</x:f>
        <x:v>0</x:v>
      </x:c>
      <x:c r="F394" s="177" t="str">
        <x:f>IF(ABS(E394)&lt;0.000001,"PASS","FAIL")</x:f>
        <x:v>PASS</x:v>
      </x:c>
      <x:c r="G394" s="177" t="str">
        <x:v>独立量价明细与机会收入相等</x:v>
      </x:c>
      <x:c r="H394" s="184"/>
    </x:row>
    <x:row r="395">
      <x:c r="A395" s="177" t="str">
        <x:v>DYN-TAM-2027-3</x:v>
      </x:c>
      <x:c r="B395" s="177" t="str">
        <x:v>2027产品4行业空间</x:v>
      </x:c>
      <x:c r="C395" s="230" t="n">
        <x:f>'量价空间'!F55</x:f>
        <x:v>16.515071999999996</x:v>
      </x:c>
      <x:c r="D395" s="230" t="n">
        <x:f>'机会模型'!C20</x:f>
        <x:v>16.515071999999996</x:v>
      </x:c>
      <x:c r="E395" s="230" t="n">
        <x:f>C395-D395</x:f>
        <x:v>0</x:v>
      </x:c>
      <x:c r="F395" s="177" t="str">
        <x:f>IF(ABS(E395)&lt;0.000001,"PASS","FAIL")</x:f>
        <x:v>PASS</x:v>
      </x:c>
      <x:c r="G395" s="177" t="str">
        <x:v>组件量×单价与市场空间相等</x:v>
      </x:c>
      <x:c r="H395" s="184"/>
    </x:row>
    <x:row r="396">
      <x:c r="A396" s="177" t="str">
        <x:v>DYN-REV-1-2027-4</x:v>
      </x:c>
      <x:c r="B396" s="177" t="str">
        <x:v>基准情形2027产品5量价份额</x:v>
      </x:c>
      <x:c r="C396" s="230" t="n">
        <x:f>'量价空间'!H56</x:f>
        <x:v>10.616832000000002</x:v>
      </x:c>
      <x:c r="D396" s="230" t="n">
        <x:f>'机会模型'!L9</x:f>
        <x:v>10.616832000000002</x:v>
      </x:c>
      <x:c r="E396" s="230" t="n">
        <x:f>C396-D396</x:f>
        <x:v>0</x:v>
      </x:c>
      <x:c r="F396" s="177" t="str">
        <x:f>IF(ABS(E396)&lt;0.000001,"PASS","FAIL")</x:f>
        <x:v>PASS</x:v>
      </x:c>
      <x:c r="G396" s="177" t="str">
        <x:v>独立量价明细与机会收入相等</x:v>
      </x:c>
      <x:c r="H396" s="184"/>
    </x:row>
    <x:row r="397">
      <x:c r="A397" s="177" t="str">
        <x:v>DYN-TAM-2027-4</x:v>
      </x:c>
      <x:c r="B397" s="177" t="str">
        <x:v>2027产品5行业空间</x:v>
      </x:c>
      <x:c r="C397" s="230" t="n">
        <x:f>'量价空间'!F56</x:f>
        <x:v>23.592960000000005</x:v>
      </x:c>
      <x:c r="D397" s="230" t="n">
        <x:f>'机会模型'!C21</x:f>
        <x:v>23.592960000000005</x:v>
      </x:c>
      <x:c r="E397" s="230" t="n">
        <x:f>C397-D397</x:f>
        <x:v>0</x:v>
      </x:c>
      <x:c r="F397" s="177" t="str">
        <x:f>IF(ABS(E397)&lt;0.000001,"PASS","FAIL")</x:f>
        <x:v>PASS</x:v>
      </x:c>
      <x:c r="G397" s="177" t="str">
        <x:v>组件量×单价与市场空间相等</x:v>
      </x:c>
      <x:c r="H397" s="184"/>
    </x:row>
    <x:row r="398">
      <x:c r="A398" s="177" t="str">
        <x:v>DYN-REV-1-2027-5</x:v>
      </x:c>
      <x:c r="B398" s="177" t="str">
        <x:v>基准情形2027产品6量价份额</x:v>
      </x:c>
      <x:c r="C398" s="230" t="n">
        <x:f>'量价空间'!H57</x:f>
        <x:v>5.89824</x:v>
      </x:c>
      <x:c r="D398" s="230" t="n">
        <x:f>'机会模型'!L10</x:f>
        <x:v>5.89824</x:v>
      </x:c>
      <x:c r="E398" s="230" t="n">
        <x:f>C398-D398</x:f>
        <x:v>0</x:v>
      </x:c>
      <x:c r="F398" s="177" t="str">
        <x:f>IF(ABS(E398)&lt;0.000001,"PASS","FAIL")</x:f>
        <x:v>PASS</x:v>
      </x:c>
      <x:c r="G398" s="177" t="str">
        <x:v>独立量价明细与机会收入相等</x:v>
      </x:c>
      <x:c r="H398" s="184"/>
    </x:row>
    <x:row r="399">
      <x:c r="A399" s="177" t="str">
        <x:v>DYN-TAM-2027-5</x:v>
      </x:c>
      <x:c r="B399" s="177" t="str">
        <x:v>2027产品6行业空间</x:v>
      </x:c>
      <x:c r="C399" s="230" t="n">
        <x:f>'量价空间'!F57</x:f>
        <x:v>13.1072</x:v>
      </x:c>
      <x:c r="D399" s="230" t="n">
        <x:f>'机会模型'!C22</x:f>
        <x:v>13.1072</x:v>
      </x:c>
      <x:c r="E399" s="230" t="n">
        <x:f>C399-D399</x:f>
        <x:v>0</x:v>
      </x:c>
      <x:c r="F399" s="177" t="str">
        <x:f>IF(ABS(E399)&lt;0.000001,"PASS","FAIL")</x:f>
        <x:v>PASS</x:v>
      </x:c>
      <x:c r="G399" s="177" t="str">
        <x:v>组件量×单价与市场空间相等</x:v>
      </x:c>
      <x:c r="H399" s="184"/>
    </x:row>
    <x:row r="400">
      <x:c r="A400" s="177" t="str">
        <x:v>DYN-REV-1-2027-6</x:v>
      </x:c>
      <x:c r="B400" s="177" t="str">
        <x:v>基准情形2027产品7量价份额</x:v>
      </x:c>
      <x:c r="C400" s="230" t="n">
        <x:f>'量价空间'!H58</x:f>
        <x:v>1.2288</x:v>
      </x:c>
      <x:c r="D400" s="230" t="n">
        <x:f>'机会模型'!L11</x:f>
        <x:v>1.2288</x:v>
      </x:c>
      <x:c r="E400" s="230" t="n">
        <x:f>C400-D400</x:f>
        <x:v>0</x:v>
      </x:c>
      <x:c r="F400" s="177" t="str">
        <x:f>IF(ABS(E400)&lt;0.000001,"PASS","FAIL")</x:f>
        <x:v>PASS</x:v>
      </x:c>
      <x:c r="G400" s="177" t="str">
        <x:v>独立量价明细与机会收入相等</x:v>
      </x:c>
      <x:c r="H400" s="184"/>
    </x:row>
    <x:row r="401">
      <x:c r="A401" s="177" t="str">
        <x:v>DYN-TAM-2027-6</x:v>
      </x:c>
      <x:c r="B401" s="177" t="str">
        <x:v>2027产品7行业空间</x:v>
      </x:c>
      <x:c r="C401" s="230" t="n">
        <x:f>'量价空间'!F58</x:f>
        <x:v>4.096</x:v>
      </x:c>
      <x:c r="D401" s="230" t="n">
        <x:f>'机会模型'!C23</x:f>
        <x:v>4.096</x:v>
      </x:c>
      <x:c r="E401" s="230" t="n">
        <x:f>C401-D401</x:f>
        <x:v>0</x:v>
      </x:c>
      <x:c r="F401" s="177" t="str">
        <x:f>IF(ABS(E401)&lt;0.000001,"PASS","FAIL")</x:f>
        <x:v>PASS</x:v>
      </x:c>
      <x:c r="G401" s="177" t="str">
        <x:v>组件量×单价与市场空间相等</x:v>
      </x:c>
      <x:c r="H401" s="184"/>
    </x:row>
    <x:row r="402">
      <x:c r="A402" s="177" t="str">
        <x:v>DYN-REV-1-2028-0</x:v>
      </x:c>
      <x:c r="B402" s="177" t="str">
        <x:v>基准情形2028产品1量价份额</x:v>
      </x:c>
      <x:c r="C402" s="230" t="n">
        <x:f>'量价空间'!H59</x:f>
        <x:v>1.62</x:v>
      </x:c>
      <x:c r="D402" s="230" t="n">
        <x:f>'机会模型'!M5</x:f>
        <x:v>1.62</x:v>
      </x:c>
      <x:c r="E402" s="230" t="n">
        <x:f>C402-D402</x:f>
        <x:v>0</x:v>
      </x:c>
      <x:c r="F402" s="177" t="str">
        <x:f>IF(ABS(E402)&lt;0.000001,"PASS","FAIL")</x:f>
        <x:v>PASS</x:v>
      </x:c>
      <x:c r="G402" s="177" t="str">
        <x:v>独立量价明细与机会收入相等</x:v>
      </x:c>
      <x:c r="H402" s="184"/>
    </x:row>
    <x:row r="403">
      <x:c r="A403" s="177" t="str">
        <x:v>DYN-TAM-2028-0</x:v>
      </x:c>
      <x:c r="B403" s="177" t="str">
        <x:v>2028产品1行业空间</x:v>
      </x:c>
      <x:c r="C403" s="230" t="n">
        <x:f>'量价空间'!F59</x:f>
        <x:v>16.2</x:v>
      </x:c>
      <x:c r="D403" s="230" t="n">
        <x:f>'机会模型'!D17</x:f>
        <x:v>16.2</x:v>
      </x:c>
      <x:c r="E403" s="230" t="n">
        <x:f>C403-D403</x:f>
        <x:v>0</x:v>
      </x:c>
      <x:c r="F403" s="177" t="str">
        <x:f>IF(ABS(E403)&lt;0.000001,"PASS","FAIL")</x:f>
        <x:v>PASS</x:v>
      </x:c>
      <x:c r="G403" s="177" t="str">
        <x:v>组件量×单价与市场空间相等</x:v>
      </x:c>
      <x:c r="H403" s="184"/>
    </x:row>
    <x:row r="404">
      <x:c r="A404" s="177" t="str">
        <x:v>DYN-REV-1-2028-1</x:v>
      </x:c>
      <x:c r="B404" s="177" t="str">
        <x:v>基准情形2028产品2量价份额</x:v>
      </x:c>
      <x:c r="C404" s="230" t="n">
        <x:f>'量价空间'!H60</x:f>
        <x:v>4.7628</x:v>
      </x:c>
      <x:c r="D404" s="230" t="n">
        <x:f>'机会模型'!M6</x:f>
        <x:v>4.7628</x:v>
      </x:c>
      <x:c r="E404" s="230" t="n">
        <x:f>C404-D404</x:f>
        <x:v>0</x:v>
      </x:c>
      <x:c r="F404" s="177" t="str">
        <x:f>IF(ABS(E404)&lt;0.000001,"PASS","FAIL")</x:f>
        <x:v>PASS</x:v>
      </x:c>
      <x:c r="G404" s="177" t="str">
        <x:v>独立量价明细与机会收入相等</x:v>
      </x:c>
      <x:c r="H404" s="184"/>
    </x:row>
    <x:row r="405">
      <x:c r="A405" s="177" t="str">
        <x:v>DYN-TAM-2028-1</x:v>
      </x:c>
      <x:c r="B405" s="177" t="str">
        <x:v>2028产品2行业空间</x:v>
      </x:c>
      <x:c r="C405" s="230" t="n">
        <x:f>'量价空间'!F60</x:f>
        <x:v>47.628</x:v>
      </x:c>
      <x:c r="D405" s="230" t="n">
        <x:f>'机会模型'!D18</x:f>
        <x:v>47.628</x:v>
      </x:c>
      <x:c r="E405" s="230" t="n">
        <x:f>C405-D405</x:f>
        <x:v>0</x:v>
      </x:c>
      <x:c r="F405" s="177" t="str">
        <x:f>IF(ABS(E405)&lt;0.000001,"PASS","FAIL")</x:f>
        <x:v>PASS</x:v>
      </x:c>
      <x:c r="G405" s="177" t="str">
        <x:v>组件量×单价与市场空间相等</x:v>
      </x:c>
      <x:c r="H405" s="184"/>
    </x:row>
    <x:row r="406">
      <x:c r="A406" s="177" t="str">
        <x:v>DYN-REV-1-2028-2</x:v>
      </x:c>
      <x:c r="B406" s="177" t="str">
        <x:v>基准情形2028产品3量价份额</x:v>
      </x:c>
      <x:c r="C406" s="230" t="n">
        <x:f>'量价空间'!H61</x:f>
        <x:v>19.888128000000002</x:v>
      </x:c>
      <x:c r="D406" s="230" t="n">
        <x:f>'机会模型'!M7</x:f>
        <x:v>19.888128000000002</x:v>
      </x:c>
      <x:c r="E406" s="230" t="n">
        <x:f>C406-D406</x:f>
        <x:v>0</x:v>
      </x:c>
      <x:c r="F406" s="177" t="str">
        <x:f>IF(ABS(E406)&lt;0.000001,"PASS","FAIL")</x:f>
        <x:v>PASS</x:v>
      </x:c>
      <x:c r="G406" s="177" t="str">
        <x:v>独立量价明细与机会收入相等</x:v>
      </x:c>
      <x:c r="H406" s="184"/>
    </x:row>
    <x:row r="407">
      <x:c r="A407" s="177" t="str">
        <x:v>DYN-TAM-2028-2</x:v>
      </x:c>
      <x:c r="B407" s="177" t="str">
        <x:v>2028产品3行业空间</x:v>
      </x:c>
      <x:c r="C407" s="230" t="n">
        <x:f>'量价空间'!F61</x:f>
        <x:v>23.592959999999998</x:v>
      </x:c>
      <x:c r="D407" s="230" t="n">
        <x:f>'机会模型'!D19</x:f>
        <x:v>23.592959999999998</x:v>
      </x:c>
      <x:c r="E407" s="230" t="n">
        <x:f>C407-D407</x:f>
        <x:v>0</x:v>
      </x:c>
      <x:c r="F407" s="177" t="str">
        <x:f>IF(ABS(E407)&lt;0.000001,"PASS","FAIL")</x:f>
        <x:v>PASS</x:v>
      </x:c>
      <x:c r="G407" s="177" t="str">
        <x:v>组件量×单价与市场空间相等</x:v>
      </x:c>
      <x:c r="H407" s="184"/>
    </x:row>
    <x:row r="408">
      <x:c r="A408" s="177" t="str">
        <x:v>DYN-REV-1-2028-3</x:v>
      </x:c>
      <x:c r="B408" s="177" t="str">
        <x:v>基准情形2028产品4量价份额</x:v>
      </x:c>
      <x:c r="C408" s="230" t="n">
        <x:f>'量价空间'!H62</x:f>
        <x:v>34.55778816</x:v>
      </x:c>
      <x:c r="D408" s="230" t="n">
        <x:f>'机会模型'!M8</x:f>
        <x:v>34.55778816</x:v>
      </x:c>
      <x:c r="E408" s="230" t="n">
        <x:f>C408-D408</x:f>
        <x:v>0</x:v>
      </x:c>
      <x:c r="F408" s="177" t="str">
        <x:f>IF(ABS(E408)&lt;0.000001,"PASS","FAIL")</x:f>
        <x:v>PASS</x:v>
      </x:c>
      <x:c r="G408" s="177" t="str">
        <x:v>独立量价明细与机会收入相等</x:v>
      </x:c>
      <x:c r="H408" s="184"/>
    </x:row>
    <x:row r="409">
      <x:c r="A409" s="177" t="str">
        <x:v>DYN-TAM-2028-3</x:v>
      </x:c>
      <x:c r="B409" s="177" t="str">
        <x:v>2028产品4行业空间</x:v>
      </x:c>
      <x:c r="C409" s="230" t="n">
        <x:f>'量价空间'!F62</x:f>
        <x:v>59.454259199999996</x:v>
      </x:c>
      <x:c r="D409" s="230" t="n">
        <x:f>'机会模型'!D20</x:f>
        <x:v>59.454259199999996</x:v>
      </x:c>
      <x:c r="E409" s="230" t="n">
        <x:f>C409-D409</x:f>
        <x:v>0</x:v>
      </x:c>
      <x:c r="F409" s="177" t="str">
        <x:f>IF(ABS(E409)&lt;0.000001,"PASS","FAIL")</x:f>
        <x:v>PASS</x:v>
      </x:c>
      <x:c r="G409" s="177" t="str">
        <x:v>组件量×单价与市场空间相等</x:v>
      </x:c>
      <x:c r="H409" s="184"/>
    </x:row>
    <x:row r="410">
      <x:c r="A410" s="177" t="str">
        <x:v>DYN-REV-1-2028-4</x:v>
      </x:c>
      <x:c r="B410" s="177" t="str">
        <x:v>基准情形2028产品5量价份额</x:v>
      </x:c>
      <x:c r="C410" s="230" t="n">
        <x:f>'量价空间'!H63</x:f>
        <x:v>38.2205952</x:v>
      </x:c>
      <x:c r="D410" s="230" t="n">
        <x:f>'机会模型'!M9</x:f>
        <x:v>38.2205952</x:v>
      </x:c>
      <x:c r="E410" s="230" t="n">
        <x:f>C410-D410</x:f>
        <x:v>0</x:v>
      </x:c>
      <x:c r="F410" s="177" t="str">
        <x:f>IF(ABS(E410)&lt;0.000001,"PASS","FAIL")</x:f>
        <x:v>PASS</x:v>
      </x:c>
      <x:c r="G410" s="177" t="str">
        <x:v>独立量价明细与机会收入相等</x:v>
      </x:c>
      <x:c r="H410" s="184"/>
    </x:row>
    <x:row r="411">
      <x:c r="A411" s="177" t="str">
        <x:v>DYN-TAM-2028-4</x:v>
      </x:c>
      <x:c r="B411" s="177" t="str">
        <x:v>2028产品5行业空间</x:v>
      </x:c>
      <x:c r="C411" s="230" t="n">
        <x:f>'量价空间'!F63</x:f>
        <x:v>84.93465599999999</x:v>
      </x:c>
      <x:c r="D411" s="230" t="n">
        <x:f>'机会模型'!D21</x:f>
        <x:v>84.93465599999999</x:v>
      </x:c>
      <x:c r="E411" s="230" t="n">
        <x:f>C411-D411</x:f>
        <x:v>0</x:v>
      </x:c>
      <x:c r="F411" s="177" t="str">
        <x:f>IF(ABS(E411)&lt;0.000001,"PASS","FAIL")</x:f>
        <x:v>PASS</x:v>
      </x:c>
      <x:c r="G411" s="177" t="str">
        <x:v>组件量×单价与市场空间相等</x:v>
      </x:c>
      <x:c r="H411" s="184"/>
    </x:row>
    <x:row r="412">
      <x:c r="A412" s="177" t="str">
        <x:v>DYN-REV-1-2028-5</x:v>
      </x:c>
      <x:c r="B412" s="177" t="str">
        <x:v>基准情形2028产品6量价份额</x:v>
      </x:c>
      <x:c r="C412" s="230" t="n">
        <x:f>'量价空间'!H64</x:f>
        <x:v>14.794751999999999</x:v>
      </x:c>
      <x:c r="D412" s="230" t="n">
        <x:f>'机会模型'!M10</x:f>
        <x:v>14.794751999999999</x:v>
      </x:c>
      <x:c r="E412" s="230" t="n">
        <x:f>C412-D412</x:f>
        <x:v>0</x:v>
      </x:c>
      <x:c r="F412" s="177" t="str">
        <x:f>IF(ABS(E412)&lt;0.000001,"PASS","FAIL")</x:f>
        <x:v>PASS</x:v>
      </x:c>
      <x:c r="G412" s="177" t="str">
        <x:v>独立量价明细与机会收入相等</x:v>
      </x:c>
      <x:c r="H412" s="184"/>
    </x:row>
    <x:row r="413">
      <x:c r="A413" s="177" t="str">
        <x:v>DYN-TAM-2028-5</x:v>
      </x:c>
      <x:c r="B413" s="177" t="str">
        <x:v>2028产品6行业空间</x:v>
      </x:c>
      <x:c r="C413" s="230" t="n">
        <x:f>'量价空间'!F64</x:f>
        <x:v>32.44032</x:v>
      </x:c>
      <x:c r="D413" s="230" t="n">
        <x:f>'机会模型'!D22</x:f>
        <x:v>32.44032</x:v>
      </x:c>
      <x:c r="E413" s="230" t="n">
        <x:f>C413-D413</x:f>
        <x:v>0</x:v>
      </x:c>
      <x:c r="F413" s="177" t="str">
        <x:f>IF(ABS(E413)&lt;0.000001,"PASS","FAIL")</x:f>
        <x:v>PASS</x:v>
      </x:c>
      <x:c r="G413" s="177" t="str">
        <x:v>组件量×单价与市场空间相等</x:v>
      </x:c>
      <x:c r="H413" s="184"/>
    </x:row>
    <x:row r="414">
      <x:c r="A414" s="177" t="str">
        <x:v>DYN-REV-1-2028-6</x:v>
      </x:c>
      <x:c r="B414" s="177" t="str">
        <x:v>基准情形2028产品7量价份额</x:v>
      </x:c>
      <x:c r="C414" s="230" t="n">
        <x:f>'量价空间'!H65</x:f>
        <x:v>5.3248</x:v>
      </x:c>
      <x:c r="D414" s="230" t="n">
        <x:f>'机会模型'!M11</x:f>
        <x:v>5.3248</x:v>
      </x:c>
      <x:c r="E414" s="230" t="n">
        <x:f>C414-D414</x:f>
        <x:v>0</x:v>
      </x:c>
      <x:c r="F414" s="177" t="str">
        <x:f>IF(ABS(E414)&lt;0.000001,"PASS","FAIL")</x:f>
        <x:v>PASS</x:v>
      </x:c>
      <x:c r="G414" s="177" t="str">
        <x:v>独立量价明细与机会收入相等</x:v>
      </x:c>
      <x:c r="H414" s="184"/>
    </x:row>
    <x:row r="415">
      <x:c r="A415" s="177" t="str">
        <x:v>DYN-TAM-2028-6</x:v>
      </x:c>
      <x:c r="B415" s="177" t="str">
        <x:v>2028产品7行业空间</x:v>
      </x:c>
      <x:c r="C415" s="230" t="n">
        <x:f>'量价空间'!F65</x:f>
        <x:v>11.264</x:v>
      </x:c>
      <x:c r="D415" s="230" t="n">
        <x:f>'机会模型'!D23</x:f>
        <x:v>11.264</x:v>
      </x:c>
      <x:c r="E415" s="230" t="n">
        <x:f>C415-D415</x:f>
        <x:v>0</x:v>
      </x:c>
      <x:c r="F415" s="177" t="str">
        <x:f>IF(ABS(E415)&lt;0.000001,"PASS","FAIL")</x:f>
        <x:v>PASS</x:v>
      </x:c>
      <x:c r="G415" s="177" t="str">
        <x:v>组件量×单价与市场空间相等</x:v>
      </x:c>
      <x:c r="H415" s="184"/>
    </x:row>
    <x:row r="416">
      <x:c r="A416" s="177" t="str">
        <x:v>DYN-REV-1-2029-0</x:v>
      </x:c>
      <x:c r="B416" s="177" t="str">
        <x:v>基准情形2029产品1量价份额</x:v>
      </x:c>
      <x:c r="C416" s="230" t="n">
        <x:f>'量价空间'!H66</x:f>
        <x:v>0.9331200000000002</x:v>
      </x:c>
      <x:c r="D416" s="230" t="n">
        <x:f>'机会模型'!N5</x:f>
        <x:v>0.9331200000000002</x:v>
      </x:c>
      <x:c r="E416" s="230" t="n">
        <x:f>C416-D416</x:f>
        <x:v>0</x:v>
      </x:c>
      <x:c r="F416" s="177" t="str">
        <x:f>IF(ABS(E416)&lt;0.000001,"PASS","FAIL")</x:f>
        <x:v>PASS</x:v>
      </x:c>
      <x:c r="G416" s="177" t="str">
        <x:v>独立量价明细与机会收入相等</x:v>
      </x:c>
      <x:c r="H416" s="184"/>
    </x:row>
    <x:row r="417">
      <x:c r="A417" s="177" t="str">
        <x:v>DYN-TAM-2029-0</x:v>
      </x:c>
      <x:c r="B417" s="177" t="str">
        <x:v>2029产品1行业空间</x:v>
      </x:c>
      <x:c r="C417" s="230" t="n">
        <x:f>'量价空间'!F66</x:f>
        <x:v>9.3312</x:v>
      </x:c>
      <x:c r="D417" s="230" t="n">
        <x:f>'机会模型'!E17</x:f>
        <x:v>9.3312</x:v>
      </x:c>
      <x:c r="E417" s="230" t="n">
        <x:f>C417-D417</x:f>
        <x:v>0</x:v>
      </x:c>
      <x:c r="F417" s="177" t="str">
        <x:f>IF(ABS(E417)&lt;0.000001,"PASS","FAIL")</x:f>
        <x:v>PASS</x:v>
      </x:c>
      <x:c r="G417" s="177" t="str">
        <x:v>组件量×单价与市场空间相等</x:v>
      </x:c>
      <x:c r="H417" s="184"/>
    </x:row>
    <x:row r="418">
      <x:c r="A418" s="177" t="str">
        <x:v>DYN-REV-1-2029-1</x:v>
      </x:c>
      <x:c r="B418" s="177" t="str">
        <x:v>基准情形2029产品2量价份额</x:v>
      </x:c>
      <x:c r="C418" s="230" t="n">
        <x:f>'量价空间'!H67</x:f>
        <x:v>5.91948</x:v>
      </x:c>
      <x:c r="D418" s="230" t="n">
        <x:f>'机会模型'!N6</x:f>
        <x:v>5.91948</x:v>
      </x:c>
      <x:c r="E418" s="230" t="n">
        <x:f>C418-D418</x:f>
        <x:v>0</x:v>
      </x:c>
      <x:c r="F418" s="177" t="str">
        <x:f>IF(ABS(E418)&lt;0.000001,"PASS","FAIL")</x:f>
        <x:v>PASS</x:v>
      </x:c>
      <x:c r="G418" s="177" t="str">
        <x:v>独立量价明细与机会收入相等</x:v>
      </x:c>
      <x:c r="H418" s="184"/>
    </x:row>
    <x:row r="419">
      <x:c r="A419" s="177" t="str">
        <x:v>DYN-TAM-2029-1</x:v>
      </x:c>
      <x:c r="B419" s="177" t="str">
        <x:v>2029产品2行业空间</x:v>
      </x:c>
      <x:c r="C419" s="230" t="n">
        <x:f>'量价空间'!F67</x:f>
        <x:v>59.1948</x:v>
      </x:c>
      <x:c r="D419" s="230" t="n">
        <x:f>'机会模型'!E18</x:f>
        <x:v>59.1948</x:v>
      </x:c>
      <x:c r="E419" s="230" t="n">
        <x:f>C419-D419</x:f>
        <x:v>0</x:v>
      </x:c>
      <x:c r="F419" s="177" t="str">
        <x:f>IF(ABS(E419)&lt;0.000001,"PASS","FAIL")</x:f>
        <x:v>PASS</x:v>
      </x:c>
      <x:c r="G419" s="177" t="str">
        <x:v>组件量×单价与市场空间相等</x:v>
      </x:c>
      <x:c r="H419" s="184"/>
    </x:row>
    <x:row r="420">
      <x:c r="A420" s="177" t="str">
        <x:v>DYN-REV-1-2029-2</x:v>
      </x:c>
      <x:c r="B420" s="177" t="str">
        <x:v>基准情形2029产品3量价份额</x:v>
      </x:c>
      <x:c r="C420" s="230" t="n">
        <x:f>'量价空间'!H68</x:f>
        <x:v>28.479651839999995</x:v>
      </x:c>
      <x:c r="D420" s="230" t="n">
        <x:f>'机会模型'!N7</x:f>
        <x:v>28.479651839999995</x:v>
      </x:c>
      <x:c r="E420" s="230" t="n">
        <x:f>C420-D420</x:f>
        <x:v>0</x:v>
      </x:c>
      <x:c r="F420" s="177" t="str">
        <x:f>IF(ABS(E420)&lt;0.000001,"PASS","FAIL")</x:f>
        <x:v>PASS</x:v>
      </x:c>
      <x:c r="G420" s="177" t="str">
        <x:v>独立量价明细与机会收入相等</x:v>
      </x:c>
      <x:c r="H420" s="184"/>
    </x:row>
    <x:row r="421">
      <x:c r="A421" s="177" t="str">
        <x:v>DYN-TAM-2029-2</x:v>
      </x:c>
      <x:c r="B421" s="177" t="str">
        <x:v>2029产品3行业空间</x:v>
      </x:c>
      <x:c r="C421" s="230" t="n">
        <x:f>'量价空间'!F68</x:f>
        <x:v>38.2205952</x:v>
      </x:c>
      <x:c r="D421" s="230" t="n">
        <x:f>'机会模型'!E19</x:f>
        <x:v>38.2205952</x:v>
      </x:c>
      <x:c r="E421" s="230" t="n">
        <x:f>C421-D421</x:f>
        <x:v>0</x:v>
      </x:c>
      <x:c r="F421" s="177" t="str">
        <x:f>IF(ABS(E421)&lt;0.000001,"PASS","FAIL")</x:f>
        <x:v>PASS</x:v>
      </x:c>
      <x:c r="G421" s="177" t="str">
        <x:v>组件量×单价与市场空间相等</x:v>
      </x:c>
      <x:c r="H421" s="184"/>
    </x:row>
    <x:row r="422">
      <x:c r="A422" s="177" t="str">
        <x:v>DYN-REV-1-2029-3</x:v>
      </x:c>
      <x:c r="B422" s="177" t="str">
        <x:v>基准情形2029产品4量价份额</x:v>
      </x:c>
      <x:c r="C422" s="230" t="n">
        <x:f>'量价空间'!H69</x:f>
        <x:v>71.9902826496</x:v>
      </x:c>
      <x:c r="D422" s="230" t="n">
        <x:f>'机会模型'!N8</x:f>
        <x:v>71.9902826496</x:v>
      </x:c>
      <x:c r="E422" s="230" t="n">
        <x:f>C422-D422</x:f>
        <x:v>0</x:v>
      </x:c>
      <x:c r="F422" s="177" t="str">
        <x:f>IF(ABS(E422)&lt;0.000001,"PASS","FAIL")</x:f>
        <x:v>PASS</x:v>
      </x:c>
      <x:c r="G422" s="177" t="str">
        <x:v>独立量价明细与机会收入相等</x:v>
      </x:c>
      <x:c r="H422" s="184"/>
    </x:row>
    <x:row r="423">
      <x:c r="A423" s="177" t="str">
        <x:v>DYN-TAM-2029-3</x:v>
      </x:c>
      <x:c r="B423" s="177" t="str">
        <x:v>2029产品4行业空间</x:v>
      </x:c>
      <x:c r="C423" s="230" t="n">
        <x:f>'量价空间'!F69</x:f>
        <x:v>112.284942336</x:v>
      </x:c>
      <x:c r="D423" s="230" t="n">
        <x:f>'机会模型'!E20</x:f>
        <x:v>112.284942336</x:v>
      </x:c>
      <x:c r="E423" s="230" t="n">
        <x:f>C423-D423</x:f>
        <x:v>0</x:v>
      </x:c>
      <x:c r="F423" s="177" t="str">
        <x:f>IF(ABS(E423)&lt;0.000001,"PASS","FAIL")</x:f>
        <x:v>PASS</x:v>
      </x:c>
      <x:c r="G423" s="177" t="str">
        <x:v>组件量×单价与市场空间相等</x:v>
      </x:c>
      <x:c r="H423" s="184"/>
    </x:row>
    <x:row r="424">
      <x:c r="A424" s="177" t="str">
        <x:v>DYN-REV-1-2029-4</x:v>
      </x:c>
      <x:c r="B424" s="177" t="str">
        <x:v>基准情形2029产品5量价份额</x:v>
      </x:c>
      <x:c r="C424" s="230" t="n">
        <x:f>'量价空间'!H70</x:f>
        <x:v>72.183177216</x:v>
      </x:c>
      <x:c r="D424" s="230" t="n">
        <x:f>'机会模型'!N9</x:f>
        <x:v>72.183177216</x:v>
      </x:c>
      <x:c r="E424" s="230" t="n">
        <x:f>C424-D424</x:f>
        <x:v>0</x:v>
      </x:c>
      <x:c r="F424" s="177" t="str">
        <x:f>IF(ABS(E424)&lt;0.000001,"PASS","FAIL")</x:f>
        <x:v>PASS</x:v>
      </x:c>
      <x:c r="G424" s="177" t="str">
        <x:v>独立量价明细与机会收入相等</x:v>
      </x:c>
      <x:c r="H424" s="184"/>
    </x:row>
    <x:row r="425">
      <x:c r="A425" s="177" t="str">
        <x:v>DYN-TAM-2029-4</x:v>
      </x:c>
      <x:c r="B425" s="177" t="str">
        <x:v>2029产品5行业空间</x:v>
      </x:c>
      <x:c r="C425" s="230" t="n">
        <x:f>'量价空间'!F70</x:f>
        <x:v>160.40706048</x:v>
      </x:c>
      <x:c r="D425" s="230" t="n">
        <x:f>'机会模型'!E21</x:f>
        <x:v>160.40706048</x:v>
      </x:c>
      <x:c r="E425" s="230" t="n">
        <x:f>C425-D425</x:f>
        <x:v>0</x:v>
      </x:c>
      <x:c r="F425" s="177" t="str">
        <x:f>IF(ABS(E425)&lt;0.000001,"PASS","FAIL")</x:f>
        <x:v>PASS</x:v>
      </x:c>
      <x:c r="G425" s="177" t="str">
        <x:v>组件量×单价与市场空间相等</x:v>
      </x:c>
      <x:c r="H425" s="184"/>
    </x:row>
    <x:row r="426">
      <x:c r="A426" s="177" t="str">
        <x:v>DYN-REV-1-2029-5</x:v>
      </x:c>
      <x:c r="B426" s="177" t="str">
        <x:v>基准情形2029产品6量价份额</x:v>
      </x:c>
      <x:c r="C426" s="230" t="n">
        <x:f>'量价空间'!H71</x:f>
        <x:v>23.688806400000004</x:v>
      </x:c>
      <x:c r="D426" s="230" t="n">
        <x:f>'机会模型'!N10</x:f>
        <x:v>23.688806400000004</x:v>
      </x:c>
      <x:c r="E426" s="230" t="n">
        <x:f>C426-D426</x:f>
        <x:v>0</x:v>
      </x:c>
      <x:c r="F426" s="177" t="str">
        <x:f>IF(ABS(E426)&lt;0.000001,"PASS","FAIL")</x:f>
        <x:v>PASS</x:v>
      </x:c>
      <x:c r="G426" s="177" t="str">
        <x:v>独立量价明细与机会收入相等</x:v>
      </x:c>
      <x:c r="H426" s="184"/>
    </x:row>
    <x:row r="427">
      <x:c r="A427" s="177" t="str">
        <x:v>DYN-TAM-2029-5</x:v>
      </x:c>
      <x:c r="B427" s="177" t="str">
        <x:v>2029产品6行业空间</x:v>
      </x:c>
      <x:c r="C427" s="230" t="n">
        <x:f>'量价空间'!F71</x:f>
        <x:v>52.4537856</x:v>
      </x:c>
      <x:c r="D427" s="230" t="n">
        <x:f>'机会模型'!E22</x:f>
        <x:v>52.4537856</x:v>
      </x:c>
      <x:c r="E427" s="230" t="n">
        <x:f>C427-D427</x:f>
        <x:v>0</x:v>
      </x:c>
      <x:c r="F427" s="177" t="str">
        <x:f>IF(ABS(E427)&lt;0.000001,"PASS","FAIL")</x:f>
        <x:v>PASS</x:v>
      </x:c>
      <x:c r="G427" s="177" t="str">
        <x:v>组件量×单价与市场空间相等</x:v>
      </x:c>
      <x:c r="H427" s="184"/>
    </x:row>
    <x:row r="428">
      <x:c r="A428" s="177" t="str">
        <x:v>DYN-REV-1-2029-6</x:v>
      </x:c>
      <x:c r="B428" s="177" t="str">
        <x:v>基准情形2029产品7量价份额</x:v>
      </x:c>
      <x:c r="C428" s="230" t="n">
        <x:f>'量价空间'!H72</x:f>
        <x:v>10.8256</x:v>
      </x:c>
      <x:c r="D428" s="230" t="n">
        <x:f>'机会模型'!N11</x:f>
        <x:v>10.8256</x:v>
      </x:c>
      <x:c r="E428" s="230" t="n">
        <x:f>C428-D428</x:f>
        <x:v>0</x:v>
      </x:c>
      <x:c r="F428" s="177" t="str">
        <x:f>IF(ABS(E428)&lt;0.000001,"PASS","FAIL")</x:f>
        <x:v>PASS</x:v>
      </x:c>
      <x:c r="G428" s="177" t="str">
        <x:v>独立量价明细与机会收入相等</x:v>
      </x:c>
      <x:c r="H428" s="184"/>
    </x:row>
    <x:row r="429">
      <x:c r="A429" s="177" t="str">
        <x:v>DYN-TAM-2029-6</x:v>
      </x:c>
      <x:c r="B429" s="177" t="str">
        <x:v>2029产品7行业空间</x:v>
      </x:c>
      <x:c r="C429" s="230" t="n">
        <x:f>'量价空间'!F72</x:f>
        <x:v>20.2368</x:v>
      </x:c>
      <x:c r="D429" s="230" t="n">
        <x:f>'机会模型'!E23</x:f>
        <x:v>20.2368</x:v>
      </x:c>
      <x:c r="E429" s="230" t="n">
        <x:f>C429-D429</x:f>
        <x:v>0</x:v>
      </x:c>
      <x:c r="F429" s="177" t="str">
        <x:f>IF(ABS(E429)&lt;0.000001,"PASS","FAIL")</x:f>
        <x:v>PASS</x:v>
      </x:c>
      <x:c r="G429" s="177" t="str">
        <x:v>组件量×单价与市场空间相等</x:v>
      </x:c>
      <x:c r="H429" s="184"/>
    </x:row>
    <x:row r="430">
      <x:c r="A430" s="177" t="str">
        <x:v>DYN-REV-1-2030-0</x:v>
      </x:c>
      <x:c r="B430" s="177" t="str">
        <x:v>基准情形2030产品1量价份额</x:v>
      </x:c>
      <x:c r="C430" s="230" t="n">
        <x:f>'量价空间'!H73</x:f>
        <x:v>0.472392</x:v>
      </x:c>
      <x:c r="D430" s="230" t="n">
        <x:f>'机会模型'!O5</x:f>
        <x:v>0.472392</x:v>
      </x:c>
      <x:c r="E430" s="230" t="n">
        <x:f>C430-D430</x:f>
        <x:v>0</x:v>
      </x:c>
      <x:c r="F430" s="177" t="str">
        <x:f>IF(ABS(E430)&lt;0.000001,"PASS","FAIL")</x:f>
        <x:v>PASS</x:v>
      </x:c>
      <x:c r="G430" s="177" t="str">
        <x:v>独立量价明细与机会收入相等</x:v>
      </x:c>
      <x:c r="H430" s="184"/>
    </x:row>
    <x:row r="431">
      <x:c r="A431" s="177" t="str">
        <x:v>DYN-TAM-2030-0</x:v>
      </x:c>
      <x:c r="B431" s="177" t="str">
        <x:v>2030产品1行业空间</x:v>
      </x:c>
      <x:c r="C431" s="230" t="n">
        <x:f>'量价空间'!F73</x:f>
        <x:v>4.72392</x:v>
      </x:c>
      <x:c r="D431" s="230" t="n">
        <x:f>'机会模型'!F17</x:f>
        <x:v>4.72392</x:v>
      </x:c>
      <x:c r="E431" s="230" t="n">
        <x:f>C431-D431</x:f>
        <x:v>0</x:v>
      </x:c>
      <x:c r="F431" s="177" t="str">
        <x:f>IF(ABS(E431)&lt;0.000001,"PASS","FAIL")</x:f>
        <x:v>PASS</x:v>
      </x:c>
      <x:c r="G431" s="177" t="str">
        <x:v>组件量×单价与市场空间相等</x:v>
      </x:c>
      <x:c r="H431" s="184"/>
    </x:row>
    <x:row r="432">
      <x:c r="A432" s="177" t="str">
        <x:v>DYN-REV-1-2030-1</x:v>
      </x:c>
      <x:c r="B432" s="177" t="str">
        <x:v>基准情形2030产品2量价份额</x:v>
      </x:c>
      <x:c r="C432" s="230" t="n">
        <x:f>'量价空间'!H74</x:f>
        <x:v>5.878655999999999</x:v>
      </x:c>
      <x:c r="D432" s="230" t="n">
        <x:f>'机会模型'!O6</x:f>
        <x:v>5.878655999999999</x:v>
      </x:c>
      <x:c r="E432" s="230" t="n">
        <x:f>C432-D432</x:f>
        <x:v>0</x:v>
      </x:c>
      <x:c r="F432" s="177" t="str">
        <x:f>IF(ABS(E432)&lt;0.000001,"PASS","FAIL")</x:f>
        <x:v>PASS</x:v>
      </x:c>
      <x:c r="G432" s="177" t="str">
        <x:v>独立量价明细与机会收入相等</x:v>
      </x:c>
      <x:c r="H432" s="184"/>
    </x:row>
    <x:row r="433">
      <x:c r="A433" s="177" t="str">
        <x:v>DYN-TAM-2030-1</x:v>
      </x:c>
      <x:c r="B433" s="177" t="str">
        <x:v>2030产品2行业空间</x:v>
      </x:c>
      <x:c r="C433" s="230" t="n">
        <x:f>'量价空间'!F74</x:f>
        <x:v>58.78655999999999</x:v>
      </x:c>
      <x:c r="D433" s="230" t="n">
        <x:f>'机会模型'!F18</x:f>
        <x:v>58.78655999999999</x:v>
      </x:c>
      <x:c r="E433" s="230" t="n">
        <x:f>C433-D433</x:f>
        <x:v>0</x:v>
      </x:c>
      <x:c r="F433" s="177" t="str">
        <x:f>IF(ABS(E433)&lt;0.000001,"PASS","FAIL")</x:f>
        <x:v>PASS</x:v>
      </x:c>
      <x:c r="G433" s="177" t="str">
        <x:v>组件量×单价与市场空间相等</x:v>
      </x:c>
      <x:c r="H433" s="184"/>
    </x:row>
    <x:row r="434">
      <x:c r="A434" s="177" t="str">
        <x:v>DYN-REV-1-2030-2</x:v>
      </x:c>
      <x:c r="B434" s="177" t="str">
        <x:v>基准情形2030产品3量价份额</x:v>
      </x:c>
      <x:c r="C434" s="230" t="n">
        <x:f>'量价空间'!H75</x:f>
        <x:v>34.76805120000001</x:v>
      </x:c>
      <x:c r="D434" s="230" t="n">
        <x:f>'机会模型'!O7</x:f>
        <x:v>34.76805120000001</x:v>
      </x:c>
      <x:c r="E434" s="230" t="n">
        <x:f>C434-D434</x:f>
        <x:v>0</x:v>
      </x:c>
      <x:c r="F434" s="177" t="str">
        <x:f>IF(ABS(E434)&lt;0.000001,"PASS","FAIL")</x:f>
        <x:v>PASS</x:v>
      </x:c>
      <x:c r="G434" s="177" t="str">
        <x:v>独立量价明细与机会收入相等</x:v>
      </x:c>
      <x:c r="H434" s="184"/>
    </x:row>
    <x:row r="435">
      <x:c r="A435" s="177" t="str">
        <x:v>DYN-TAM-2030-2</x:v>
      </x:c>
      <x:c r="B435" s="177" t="str">
        <x:v>2030产品3行业空间</x:v>
      </x:c>
      <x:c r="C435" s="230" t="n">
        <x:f>'量价空间'!F75</x:f>
        <x:v>53.74771200000001</x:v>
      </x:c>
      <x:c r="D435" s="230" t="n">
        <x:f>'机会模型'!F19</x:f>
        <x:v>53.74771200000001</x:v>
      </x:c>
      <x:c r="E435" s="230" t="n">
        <x:f>C435-D435</x:f>
        <x:v>0</x:v>
      </x:c>
      <x:c r="F435" s="177" t="str">
        <x:f>IF(ABS(E435)&lt;0.000001,"PASS","FAIL")</x:f>
        <x:v>PASS</x:v>
      </x:c>
      <x:c r="G435" s="177" t="str">
        <x:v>组件量×单价与市场空间相等</x:v>
      </x:c>
      <x:c r="H435" s="184"/>
    </x:row>
    <x:row r="436">
      <x:c r="A436" s="177" t="str">
        <x:v>DYN-REV-1-2030-3</x:v>
      </x:c>
      <x:c r="B436" s="177" t="str">
        <x:v>基准情形2030产品4量价份额</x:v>
      </x:c>
      <x:c r="C436" s="230" t="n">
        <x:f>'量价空间'!H76</x:f>
        <x:v>110.52249513984002</x:v>
      </x:c>
      <x:c r="D436" s="230" t="n">
        <x:f>'机会模型'!O8</x:f>
        <x:v>110.52249513984002</x:v>
      </x:c>
      <x:c r="E436" s="230" t="n">
        <x:f>C436-D436</x:f>
        <x:v>0</x:v>
      </x:c>
      <x:c r="F436" s="177" t="str">
        <x:f>IF(ABS(E436)&lt;0.000001,"PASS","FAIL")</x:f>
        <x:v>PASS</x:v>
      </x:c>
      <x:c r="G436" s="177" t="str">
        <x:v>独立量价明细与机会收入相等</x:v>
      </x:c>
      <x:c r="H436" s="184"/>
    </x:row>
    <x:row r="437">
      <x:c r="A437" s="177" t="str">
        <x:v>DYN-TAM-2030-3</x:v>
      </x:c>
      <x:c r="B437" s="177" t="str">
        <x:v>2030产品4行业空间</x:v>
      </x:c>
      <x:c r="C437" s="230" t="n">
        <x:f>'量价空间'!F76</x:f>
        <x:v>158.9212348416</x:v>
      </x:c>
      <x:c r="D437" s="230" t="n">
        <x:f>'机会模型'!F20</x:f>
        <x:v>158.9212348416</x:v>
      </x:c>
      <x:c r="E437" s="230" t="n">
        <x:f>C437-D437</x:f>
        <x:v>0</x:v>
      </x:c>
      <x:c r="F437" s="177" t="str">
        <x:f>IF(ABS(E437)&lt;0.000001,"PASS","FAIL")</x:f>
        <x:v>PASS</x:v>
      </x:c>
      <x:c r="G437" s="177" t="str">
        <x:v>组件量×单价与市场空间相等</x:v>
      </x:c>
      <x:c r="H437" s="184"/>
    </x:row>
    <x:row r="438">
      <x:c r="A438" s="177" t="str">
        <x:v>DYN-REV-1-2030-4</x:v>
      </x:c>
      <x:c r="B438" s="177" t="str">
        <x:v>基准情形2030产品5量价份额</x:v>
      </x:c>
      <x:c r="C438" s="230" t="n">
        <x:f>'量价空间'!H77</x:f>
        <x:v>102.1636509696</x:v>
      </x:c>
      <x:c r="D438" s="230" t="n">
        <x:f>'机会模型'!O9</x:f>
        <x:v>102.1636509696</x:v>
      </x:c>
      <x:c r="E438" s="230" t="n">
        <x:f>C438-D438</x:f>
        <x:v>0</x:v>
      </x:c>
      <x:c r="F438" s="177" t="str">
        <x:f>IF(ABS(E438)&lt;0.000001,"PASS","FAIL")</x:f>
        <x:v>PASS</x:v>
      </x:c>
      <x:c r="G438" s="177" t="str">
        <x:v>独立量价明细与机会收入相等</x:v>
      </x:c>
      <x:c r="H438" s="184"/>
    </x:row>
    <x:row r="439">
      <x:c r="A439" s="177" t="str">
        <x:v>DYN-TAM-2030-4</x:v>
      </x:c>
      <x:c r="B439" s="177" t="str">
        <x:v>2030产品5行业空间</x:v>
      </x:c>
      <x:c r="C439" s="230" t="n">
        <x:f>'量价空间'!F77</x:f>
        <x:v>227.030335488</x:v>
      </x:c>
      <x:c r="D439" s="230" t="n">
        <x:f>'机会模型'!F21</x:f>
        <x:v>227.030335488</x:v>
      </x:c>
      <x:c r="E439" s="230" t="n">
        <x:f>C439-D439</x:f>
        <x:v>0</x:v>
      </x:c>
      <x:c r="F439" s="177" t="str">
        <x:f>IF(ABS(E439)&lt;0.000001,"PASS","FAIL")</x:f>
        <x:v>PASS</x:v>
      </x:c>
      <x:c r="G439" s="177" t="str">
        <x:v>组件量×单价与市场空间相等</x:v>
      </x:c>
      <x:c r="H439" s="184"/>
    </x:row>
    <x:row r="440">
      <x:c r="A440" s="177" t="str">
        <x:v>DYN-REV-1-2030-5</x:v>
      </x:c>
      <x:c r="B440" s="177" t="str">
        <x:v>基准情形2030产品6量价份额</x:v>
      </x:c>
      <x:c r="C440" s="230" t="n">
        <x:f>'量价空间'!H78</x:f>
        <x:v>30.385373184000002</x:v>
      </x:c>
      <x:c r="D440" s="230" t="n">
        <x:f>'机会模型'!O10</x:f>
        <x:v>30.385373184000002</x:v>
      </x:c>
      <x:c r="E440" s="230" t="n">
        <x:f>C440-D440</x:f>
        <x:v>0</x:v>
      </x:c>
      <x:c r="F440" s="177" t="str">
        <x:f>IF(ABS(E440)&lt;0.000001,"PASS","FAIL")</x:f>
        <x:v>PASS</x:v>
      </x:c>
      <x:c r="G440" s="177" t="str">
        <x:v>独立量价明细与机会收入相等</x:v>
      </x:c>
      <x:c r="H440" s="184"/>
    </x:row>
    <x:row r="441">
      <x:c r="A441" s="177" t="str">
        <x:v>DYN-TAM-2030-5</x:v>
      </x:c>
      <x:c r="B441" s="177" t="str">
        <x:v>2030产品6行业空间</x:v>
      </x:c>
      <x:c r="C441" s="230" t="n">
        <x:f>'量价空间'!F78</x:f>
        <x:v>68.79707136</x:v>
      </x:c>
      <x:c r="D441" s="230" t="n">
        <x:f>'机会模型'!F22</x:f>
        <x:v>68.79707136</x:v>
      </x:c>
      <x:c r="E441" s="230" t="n">
        <x:f>C441-D441</x:f>
        <x:v>0</x:v>
      </x:c>
      <x:c r="F441" s="177" t="str">
        <x:f>IF(ABS(E441)&lt;0.000001,"PASS","FAIL")</x:f>
        <x:v>PASS</x:v>
      </x:c>
      <x:c r="G441" s="177" t="str">
        <x:v>组件量×单价与市场空间相等</x:v>
      </x:c>
      <x:c r="H441" s="184"/>
    </x:row>
    <x:row r="442">
      <x:c r="A442" s="177" t="str">
        <x:v>DYN-REV-1-2030-6</x:v>
      </x:c>
      <x:c r="B442" s="177" t="str">
        <x:v>基准情形2030产品7量价份额</x:v>
      </x:c>
      <x:c r="C442" s="230" t="n">
        <x:f>'量价空间'!H79</x:f>
        <x:v>17.448960000000003</x:v>
      </x:c>
      <x:c r="D442" s="230" t="n">
        <x:f>'机会模型'!O11</x:f>
        <x:v>17.448960000000003</x:v>
      </x:c>
      <x:c r="E442" s="230" t="n">
        <x:f>C442-D442</x:f>
        <x:v>0</x:v>
      </x:c>
      <x:c r="F442" s="177" t="str">
        <x:f>IF(ABS(E442)&lt;0.000001,"PASS","FAIL")</x:f>
        <x:v>PASS</x:v>
      </x:c>
      <x:c r="G442" s="177" t="str">
        <x:v>独立量价明细与机会收入相等</x:v>
      </x:c>
      <x:c r="H442" s="184"/>
    </x:row>
    <x:row r="443">
      <x:c r="A443" s="177" t="str">
        <x:v>DYN-TAM-2030-6</x:v>
      </x:c>
      <x:c r="B443" s="177" t="str">
        <x:v>2030产品7行业空间</x:v>
      </x:c>
      <x:c r="C443" s="230" t="n">
        <x:f>'量价空间'!F79</x:f>
        <x:v>29.4912</x:v>
      </x:c>
      <x:c r="D443" s="230" t="n">
        <x:f>'机会模型'!F23</x:f>
        <x:v>29.4912</x:v>
      </x:c>
      <x:c r="E443" s="230" t="n">
        <x:f>C443-D443</x:f>
        <x:v>0</x:v>
      </x:c>
      <x:c r="F443" s="177" t="str">
        <x:f>IF(ABS(E443)&lt;0.000001,"PASS","FAIL")</x:f>
        <x:v>PASS</x:v>
      </x:c>
      <x:c r="G443" s="177" t="str">
        <x:v>组件量×单价与市场空间相等</x:v>
      </x:c>
      <x:c r="H443" s="184"/>
    </x:row>
    <x:row r="444">
      <x:c r="A444" s="177" t="str">
        <x:v>DYN-REV-2-2026-0</x:v>
      </x:c>
      <x:c r="B444" s="177" t="str">
        <x:v>乐观情形2026产品1量价份额</x:v>
      </x:c>
      <x:c r="C444" s="230" t="n">
        <x:f>'量价空间'!H84</x:f>
        <x:v>1.1088</x:v>
      </x:c>
      <x:c r="D444" s="230" t="n">
        <x:f>'机会模型'!Q5</x:f>
        <x:v>1.1088</x:v>
      </x:c>
      <x:c r="E444" s="230" t="n">
        <x:f>C444-D444</x:f>
        <x:v>0</x:v>
      </x:c>
      <x:c r="F444" s="177" t="str">
        <x:f>IF(ABS(E444)&lt;0.000001,"PASS","FAIL")</x:f>
        <x:v>PASS</x:v>
      </x:c>
      <x:c r="G444" s="177" t="str">
        <x:v>独立量价明细与机会收入相等</x:v>
      </x:c>
      <x:c r="H444" s="184"/>
    </x:row>
    <x:row r="445">
      <x:c r="A445" s="177" t="str">
        <x:v>DYN-REV-2-2026-1</x:v>
      </x:c>
      <x:c r="B445" s="177" t="str">
        <x:v>乐观情形2026产品2量价份额</x:v>
      </x:c>
      <x:c r="C445" s="230" t="n">
        <x:f>'量价空间'!H85</x:f>
        <x:v>0.5211359999999999</x:v>
      </x:c>
      <x:c r="D445" s="230" t="n">
        <x:f>'机会模型'!Q6</x:f>
        <x:v>0.5211359999999999</x:v>
      </x:c>
      <x:c r="E445" s="230" t="n">
        <x:f>C445-D445</x:f>
        <x:v>0</x:v>
      </x:c>
      <x:c r="F445" s="177" t="str">
        <x:f>IF(ABS(E445)&lt;0.000001,"PASS","FAIL")</x:f>
        <x:v>PASS</x:v>
      </x:c>
      <x:c r="G445" s="177" t="str">
        <x:v>独立量价明细与机会收入相等</x:v>
      </x:c>
      <x:c r="H445" s="184"/>
    </x:row>
    <x:row r="446">
      <x:c r="A446" s="177" t="str">
        <x:v>DYN-REV-2-2026-2</x:v>
      </x:c>
      <x:c r="B446" s="177" t="str">
        <x:v>乐观情形2026产品3量价份额</x:v>
      </x:c>
      <x:c r="C446" s="230" t="n">
        <x:f>'量价空间'!H86</x:f>
        <x:v>2.56</x:v>
      </x:c>
      <x:c r="D446" s="230" t="n">
        <x:f>'机会模型'!Q7</x:f>
        <x:v>2.56</x:v>
      </x:c>
      <x:c r="E446" s="230" t="n">
        <x:f>C446-D446</x:f>
        <x:v>0</x:v>
      </x:c>
      <x:c r="F446" s="177" t="str">
        <x:f>IF(ABS(E446)&lt;0.000001,"PASS","FAIL")</x:f>
        <x:v>PASS</x:v>
      </x:c>
      <x:c r="G446" s="177" t="str">
        <x:v>独立量价明细与机会收入相等</x:v>
      </x:c>
      <x:c r="H446" s="184"/>
    </x:row>
    <x:row r="447">
      <x:c r="A447" s="177" t="str">
        <x:v>DYN-REV-2-2026-3</x:v>
      </x:c>
      <x:c r="B447" s="177" t="str">
        <x:v>乐观情形2026产品4量价份额</x:v>
      </x:c>
      <x:c r="C447" s="230" t="n">
        <x:f>'量价空间'!H87</x:f>
        <x:v>1.14960384</x:v>
      </x:c>
      <x:c r="D447" s="230" t="n">
        <x:f>'机会模型'!Q8</x:f>
        <x:v>1.14960384</x:v>
      </x:c>
      <x:c r="E447" s="230" t="n">
        <x:f>C447-D447</x:f>
        <x:v>0</x:v>
      </x:c>
      <x:c r="F447" s="177" t="str">
        <x:f>IF(ABS(E447)&lt;0.000001,"PASS","FAIL")</x:f>
        <x:v>PASS</x:v>
      </x:c>
      <x:c r="G447" s="177" t="str">
        <x:v>独立量价明细与机会收入相等</x:v>
      </x:c>
      <x:c r="H447" s="184"/>
    </x:row>
    <x:row r="448">
      <x:c r="A448" s="177" t="str">
        <x:v>DYN-REV-2-2026-4</x:v>
      </x:c>
      <x:c r="B448" s="177" t="str">
        <x:v>乐观情形2026产品5量价份额</x:v>
      </x:c>
      <x:c r="C448" s="230" t="n">
        <x:f>'量价空间'!H88</x:f>
        <x:v>1.4598144000000004</x:v>
      </x:c>
      <x:c r="D448" s="230" t="n">
        <x:f>'机会模型'!Q9</x:f>
        <x:v>1.4598144000000004</x:v>
      </x:c>
      <x:c r="E448" s="230" t="n">
        <x:f>C448-D448</x:f>
        <x:v>0</x:v>
      </x:c>
      <x:c r="F448" s="177" t="str">
        <x:f>IF(ABS(E448)&lt;0.000001,"PASS","FAIL")</x:f>
        <x:v>PASS</x:v>
      </x:c>
      <x:c r="G448" s="177" t="str">
        <x:v>独立量价明细与机会收入相等</x:v>
      </x:c>
      <x:c r="H448" s="184"/>
    </x:row>
    <x:row r="449">
      <x:c r="A449" s="177" t="str">
        <x:v>DYN-REV-2-2026-5</x:v>
      </x:c>
      <x:c r="B449" s="177" t="str">
        <x:v>乐观情形2026产品6量价份额</x:v>
      </x:c>
      <x:c r="C449" s="230" t="n">
        <x:f>'量价空间'!H89</x:f>
        <x:v>0.912384</x:v>
      </x:c>
      <x:c r="D449" s="230" t="n">
        <x:f>'机会模型'!Q10</x:f>
        <x:v>0.912384</x:v>
      </x:c>
      <x:c r="E449" s="230" t="n">
        <x:f>C449-D449</x:f>
        <x:v>0</x:v>
      </x:c>
      <x:c r="F449" s="177" t="str">
        <x:f>IF(ABS(E449)&lt;0.000001,"PASS","FAIL")</x:f>
        <x:v>PASS</x:v>
      </x:c>
      <x:c r="G449" s="177" t="str">
        <x:v>独立量价明细与机会收入相等</x:v>
      </x:c>
      <x:c r="H449" s="184"/>
    </x:row>
    <x:row r="450">
      <x:c r="A450" s="177" t="str">
        <x:v>DYN-REV-2-2026-6</x:v>
      </x:c>
      <x:c r="B450" s="177" t="str">
        <x:v>乐观情形2026产品7量价份额</x:v>
      </x:c>
      <x:c r="C450" s="230" t="n">
        <x:f>'量价空间'!H90</x:f>
        <x:v>0.050688000000000004</x:v>
      </x:c>
      <x:c r="D450" s="230" t="n">
        <x:f>'机会模型'!Q11</x:f>
        <x:v>0.050688000000000004</x:v>
      </x:c>
      <x:c r="E450" s="230" t="n">
        <x:f>C450-D450</x:f>
        <x:v>0</x:v>
      </x:c>
      <x:c r="F450" s="177" t="str">
        <x:f>IF(ABS(E450)&lt;0.000001,"PASS","FAIL")</x:f>
        <x:v>PASS</x:v>
      </x:c>
      <x:c r="G450" s="177" t="str">
        <x:v>独立量价明细与机会收入相等</x:v>
      </x:c>
      <x:c r="H450" s="184"/>
    </x:row>
    <x:row r="451">
      <x:c r="A451" s="177" t="str">
        <x:v>DYN-REV-2-2027-0</x:v>
      </x:c>
      <x:c r="B451" s="177" t="str">
        <x:v>乐观情形2027产品1量价份额</x:v>
      </x:c>
      <x:c r="C451" s="230" t="n">
        <x:f>'量价空间'!H91</x:f>
        <x:v>2.8710000000000004</x:v>
      </x:c>
      <x:c r="D451" s="230" t="n">
        <x:f>'机会模型'!R5</x:f>
        <x:v>2.8710000000000004</x:v>
      </x:c>
      <x:c r="E451" s="230" t="n">
        <x:f>C451-D451</x:f>
        <x:v>0</x:v>
      </x:c>
      <x:c r="F451" s="177" t="str">
        <x:f>IF(ABS(E451)&lt;0.000001,"PASS","FAIL")</x:f>
        <x:v>PASS</x:v>
      </x:c>
      <x:c r="G451" s="177" t="str">
        <x:v>独立量价明细与机会收入相等</x:v>
      </x:c>
      <x:c r="H451" s="184"/>
    </x:row>
    <x:row r="452">
      <x:c r="A452" s="177" t="str">
        <x:v>DYN-REV-2-2027-1</x:v>
      </x:c>
      <x:c r="B452" s="177" t="str">
        <x:v>乐观情形2027产品2量价份额</x:v>
      </x:c>
      <x:c r="C452" s="230" t="n">
        <x:f>'量价空间'!H92</x:f>
        <x:v>3.548160000000001</x:v>
      </x:c>
      <x:c r="D452" s="230" t="n">
        <x:f>'机会模型'!R6</x:f>
        <x:v>3.548160000000001</x:v>
      </x:c>
      <x:c r="E452" s="230" t="n">
        <x:f>C452-D452</x:f>
        <x:v>0</x:v>
      </x:c>
      <x:c r="F452" s="177" t="str">
        <x:f>IF(ABS(E452)&lt;0.000001,"PASS","FAIL")</x:f>
        <x:v>PASS</x:v>
      </x:c>
      <x:c r="G452" s="177" t="str">
        <x:v>独立量价明细与机会收入相等</x:v>
      </x:c>
      <x:c r="H452" s="184"/>
    </x:row>
    <x:row r="453">
      <x:c r="A453" s="177" t="str">
        <x:v>DYN-REV-2-2027-2</x:v>
      </x:c>
      <x:c r="B453" s="177" t="str">
        <x:v>乐观情形2027产品3量价份额</x:v>
      </x:c>
      <x:c r="C453" s="230" t="n">
        <x:f>'量价空间'!H93</x:f>
        <x:v>13.312000000000001</x:v>
      </x:c>
      <x:c r="D453" s="230" t="n">
        <x:f>'机会模型'!R7</x:f>
        <x:v>13.312000000000001</x:v>
      </x:c>
      <x:c r="E453" s="230" t="n">
        <x:f>C453-D453</x:f>
        <x:v>0</x:v>
      </x:c>
      <x:c r="F453" s="177" t="str">
        <x:f>IF(ABS(E453)&lt;0.000001,"PASS","FAIL")</x:f>
        <x:v>PASS</x:v>
      </x:c>
      <x:c r="G453" s="177" t="str">
        <x:v>独立量价明细与机会收入相等</x:v>
      </x:c>
      <x:c r="H453" s="184"/>
    </x:row>
    <x:row r="454">
      <x:c r="A454" s="177" t="str">
        <x:v>DYN-REV-2-2027-3</x:v>
      </x:c>
      <x:c r="B454" s="177" t="str">
        <x:v>乐观情形2027产品4量价份额</x:v>
      </x:c>
      <x:c r="C454" s="230" t="n">
        <x:f>'量价空间'!H94</x:f>
        <x:v>10.092544000000004</x:v>
      </x:c>
      <x:c r="D454" s="230" t="n">
        <x:f>'机会模型'!R8</x:f>
        <x:v>10.092544000000004</x:v>
      </x:c>
      <x:c r="E454" s="230" t="n">
        <x:f>C454-D454</x:f>
        <x:v>0</x:v>
      </x:c>
      <x:c r="F454" s="177" t="str">
        <x:f>IF(ABS(E454)&lt;0.000001,"PASS","FAIL")</x:f>
        <x:v>PASS</x:v>
      </x:c>
      <x:c r="G454" s="177" t="str">
        <x:v>独立量价明细与机会收入相等</x:v>
      </x:c>
      <x:c r="H454" s="184"/>
    </x:row>
    <x:row r="455">
      <x:c r="A455" s="177" t="str">
        <x:v>DYN-REV-2-2027-4</x:v>
      </x:c>
      <x:c r="B455" s="177" t="str">
        <x:v>乐观情形2027产品5量价份额</x:v>
      </x:c>
      <x:c r="C455" s="230" t="n">
        <x:f>'量价空间'!H95</x:f>
        <x:v>11.678515200000003</x:v>
      </x:c>
      <x:c r="D455" s="230" t="n">
        <x:f>'机会模型'!R9</x:f>
        <x:v>11.678515200000003</x:v>
      </x:c>
      <x:c r="E455" s="230" t="n">
        <x:f>C455-D455</x:f>
        <x:v>0</x:v>
      </x:c>
      <x:c r="F455" s="177" t="str">
        <x:f>IF(ABS(E455)&lt;0.000001,"PASS","FAIL")</x:f>
        <x:v>PASS</x:v>
      </x:c>
      <x:c r="G455" s="177" t="str">
        <x:v>独立量价明细与机会收入相等</x:v>
      </x:c>
      <x:c r="H455" s="184"/>
    </x:row>
    <x:row r="456">
      <x:c r="A456" s="177" t="str">
        <x:v>DYN-REV-2-2027-5</x:v>
      </x:c>
      <x:c r="B456" s="177" t="str">
        <x:v>乐观情形2027产品6量价份额</x:v>
      </x:c>
      <x:c r="C456" s="230" t="n">
        <x:f>'量价空间'!H96</x:f>
        <x:v>7.208960000000001</x:v>
      </x:c>
      <x:c r="D456" s="230" t="n">
        <x:f>'机会模型'!R10</x:f>
        <x:v>7.208960000000001</x:v>
      </x:c>
      <x:c r="E456" s="230" t="n">
        <x:f>C456-D456</x:f>
        <x:v>0</x:v>
      </x:c>
      <x:c r="F456" s="177" t="str">
        <x:f>IF(ABS(E456)&lt;0.000001,"PASS","FAIL")</x:f>
        <x:v>PASS</x:v>
      </x:c>
      <x:c r="G456" s="177" t="str">
        <x:v>独立量价明细与机会收入相等</x:v>
      </x:c>
      <x:c r="H456" s="184"/>
    </x:row>
    <x:row r="457">
      <x:c r="A457" s="177" t="str">
        <x:v>DYN-REV-2-2027-6</x:v>
      </x:c>
      <x:c r="B457" s="177" t="str">
        <x:v>乐观情形2027产品7量价份额</x:v>
      </x:c>
      <x:c r="C457" s="230" t="n">
        <x:f>'量价空间'!H97</x:f>
        <x:v>1.5018666666666667</x:v>
      </x:c>
      <x:c r="D457" s="230" t="n">
        <x:f>'机会模型'!R11</x:f>
        <x:v>1.5018666666666667</x:v>
      </x:c>
      <x:c r="E457" s="230" t="n">
        <x:f>C457-D457</x:f>
        <x:v>0</x:v>
      </x:c>
      <x:c r="F457" s="177" t="str">
        <x:f>IF(ABS(E457)&lt;0.000001,"PASS","FAIL")</x:f>
        <x:v>PASS</x:v>
      </x:c>
      <x:c r="G457" s="177" t="str">
        <x:v>独立量价明细与机会收入相等</x:v>
      </x:c>
      <x:c r="H457" s="184"/>
    </x:row>
    <x:row r="458">
      <x:c r="A458" s="177" t="str">
        <x:v>DYN-REV-2-2028-0</x:v>
      </x:c>
      <x:c r="B458" s="177" t="str">
        <x:v>乐观情形2028产品1量价份额</x:v>
      </x:c>
      <x:c r="C458" s="230" t="n">
        <x:f>'量价空间'!H98</x:f>
        <x:v>1.9602000000000006</x:v>
      </x:c>
      <x:c r="D458" s="230" t="n">
        <x:f>'机会模型'!S5</x:f>
        <x:v>1.9602000000000006</x:v>
      </x:c>
      <x:c r="E458" s="230" t="n">
        <x:f>C458-D458</x:f>
        <x:v>0</x:v>
      </x:c>
      <x:c r="F458" s="177" t="str">
        <x:f>IF(ABS(E458)&lt;0.000001,"PASS","FAIL")</x:f>
        <x:v>PASS</x:v>
      </x:c>
      <x:c r="G458" s="177" t="str">
        <x:v>独立量价明细与机会收入相等</x:v>
      </x:c>
      <x:c r="H458" s="184"/>
    </x:row>
    <x:row r="459">
      <x:c r="A459" s="177" t="str">
        <x:v>DYN-REV-2-2028-1</x:v>
      </x:c>
      <x:c r="B459" s="177" t="str">
        <x:v>乐观情形2028产品2量价份额</x:v>
      </x:c>
      <x:c r="C459" s="230" t="n">
        <x:f>'量价空间'!H99</x:f>
        <x:v>5.762988000000001</x:v>
      </x:c>
      <x:c r="D459" s="230" t="n">
        <x:f>'机会模型'!S6</x:f>
        <x:v>5.762988000000001</x:v>
      </x:c>
      <x:c r="E459" s="230" t="n">
        <x:f>C459-D459</x:f>
        <x:v>0</x:v>
      </x:c>
      <x:c r="F459" s="177" t="str">
        <x:f>IF(ABS(E459)&lt;0.000001,"PASS","FAIL")</x:f>
        <x:v>PASS</x:v>
      </x:c>
      <x:c r="G459" s="177" t="str">
        <x:v>独立量价明细与机会收入相等</x:v>
      </x:c>
      <x:c r="H459" s="184"/>
    </x:row>
    <x:row r="460">
      <x:c r="A460" s="177" t="str">
        <x:v>DYN-REV-2-2028-2</x:v>
      </x:c>
      <x:c r="B460" s="177" t="str">
        <x:v>乐观情形2028产品3量价份额</x:v>
      </x:c>
      <x:c r="C460" s="230" t="n">
        <x:f>'量价空间'!H100</x:f>
        <x:v>27.346176000000007</x:v>
      </x:c>
      <x:c r="D460" s="230" t="n">
        <x:f>'机会模型'!S7</x:f>
        <x:v>27.346176000000007</x:v>
      </x:c>
      <x:c r="E460" s="230" t="n">
        <x:f>C460-D460</x:f>
        <x:v>0</x:v>
      </x:c>
      <x:c r="F460" s="177" t="str">
        <x:f>IF(ABS(E460)&lt;0.000001,"PASS","FAIL")</x:f>
        <x:v>PASS</x:v>
      </x:c>
      <x:c r="G460" s="177" t="str">
        <x:v>独立量价明细与机会收入相等</x:v>
      </x:c>
      <x:c r="H460" s="184"/>
    </x:row>
    <x:row r="461">
      <x:c r="A461" s="177" t="str">
        <x:v>DYN-REV-2-2028-3</x:v>
      </x:c>
      <x:c r="B461" s="177" t="str">
        <x:v>乐观情形2028产品4量价份额</x:v>
      </x:c>
      <x:c r="C461" s="230" t="n">
        <x:f>'量价空间'!H101</x:f>
        <x:v>41.81492367360001</x:v>
      </x:c>
      <x:c r="D461" s="230" t="n">
        <x:f>'机会模型'!S8</x:f>
        <x:v>41.81492367360001</x:v>
      </x:c>
      <x:c r="E461" s="230" t="n">
        <x:f>C461-D461</x:f>
        <x:v>0</x:v>
      </x:c>
      <x:c r="F461" s="177" t="str">
        <x:f>IF(ABS(E461)&lt;0.000001,"PASS","FAIL")</x:f>
        <x:v>PASS</x:v>
      </x:c>
      <x:c r="G461" s="177" t="str">
        <x:v>独立量价明细与机会收入相等</x:v>
      </x:c>
      <x:c r="H461" s="184"/>
    </x:row>
    <x:row r="462">
      <x:c r="A462" s="177" t="str">
        <x:v>DYN-REV-2-2028-4</x:v>
      </x:c>
      <x:c r="B462" s="177" t="str">
        <x:v>乐观情形2028产品5量价份额</x:v>
      </x:c>
      <x:c r="C462" s="230" t="n">
        <x:f>'量价空间'!H102</x:f>
        <x:v>42.04265472</x:v>
      </x:c>
      <x:c r="D462" s="230" t="n">
        <x:f>'机会模型'!S9</x:f>
        <x:v>42.04265472</x:v>
      </x:c>
      <x:c r="E462" s="230" t="n">
        <x:f>C462-D462</x:f>
        <x:v>0</x:v>
      </x:c>
      <x:c r="F462" s="177" t="str">
        <x:f>IF(ABS(E462)&lt;0.000001,"PASS","FAIL")</x:f>
        <x:v>PASS</x:v>
      </x:c>
      <x:c r="G462" s="177" t="str">
        <x:v>独立量价明细与机会收入相等</x:v>
      </x:c>
      <x:c r="H462" s="184"/>
    </x:row>
    <x:row r="463">
      <x:c r="A463" s="177" t="str">
        <x:v>DYN-REV-2-2028-5</x:v>
      </x:c>
      <x:c r="B463" s="177" t="str">
        <x:v>乐观情形2028产品6量价份额</x:v>
      </x:c>
      <x:c r="C463" s="230" t="n">
        <x:f>'量价空间'!H103</x:f>
        <x:v>17.901649920000004</x:v>
      </x:c>
      <x:c r="D463" s="230" t="n">
        <x:f>'机会模型'!S10</x:f>
        <x:v>17.901649920000004</x:v>
      </x:c>
      <x:c r="E463" s="230" t="n">
        <x:f>C463-D463</x:f>
        <x:v>0</x:v>
      </x:c>
      <x:c r="F463" s="177" t="str">
        <x:f>IF(ABS(E463)&lt;0.000001,"PASS","FAIL")</x:f>
        <x:v>PASS</x:v>
      </x:c>
      <x:c r="G463" s="177" t="str">
        <x:v>独立量价明细与机会收入相等</x:v>
      </x:c>
      <x:c r="H463" s="184"/>
    </x:row>
    <x:row r="464">
      <x:c r="A464" s="177" t="str">
        <x:v>DYN-REV-2-2028-6</x:v>
      </x:c>
      <x:c r="B464" s="177" t="str">
        <x:v>乐观情形2028产品7量价份额</x:v>
      </x:c>
      <x:c r="C464" s="230" t="n">
        <x:f>'量价空间'!H104</x:f>
        <x:v>6.443008000000001</x:v>
      </x:c>
      <x:c r="D464" s="230" t="n">
        <x:f>'机会模型'!S11</x:f>
        <x:v>6.443008000000001</x:v>
      </x:c>
      <x:c r="E464" s="230" t="n">
        <x:f>C464-D464</x:f>
        <x:v>0</x:v>
      </x:c>
      <x:c r="F464" s="177" t="str">
        <x:f>IF(ABS(E464)&lt;0.000001,"PASS","FAIL")</x:f>
        <x:v>PASS</x:v>
      </x:c>
      <x:c r="G464" s="177" t="str">
        <x:v>独立量价明细与机会收入相等</x:v>
      </x:c>
      <x:c r="H464" s="184"/>
    </x:row>
    <x:row r="465">
      <x:c r="A465" s="177" t="str">
        <x:v>DYN-REV-2-2029-0</x:v>
      </x:c>
      <x:c r="B465" s="177" t="str">
        <x:v>乐观情形2029产品1量价份额</x:v>
      </x:c>
      <x:c r="C465" s="230" t="n">
        <x:f>'量价空间'!H105</x:f>
        <x:v>1.1290752000000004</x:v>
      </x:c>
      <x:c r="D465" s="230" t="n">
        <x:f>'机会模型'!T5</x:f>
        <x:v>1.1290752000000004</x:v>
      </x:c>
      <x:c r="E465" s="230" t="n">
        <x:f>C465-D465</x:f>
        <x:v>0</x:v>
      </x:c>
      <x:c r="F465" s="177" t="str">
        <x:f>IF(ABS(E465)&lt;0.000001,"PASS","FAIL")</x:f>
        <x:v>PASS</x:v>
      </x:c>
      <x:c r="G465" s="177" t="str">
        <x:v>独立量价明细与机会收入相等</x:v>
      </x:c>
      <x:c r="H465" s="184"/>
    </x:row>
    <x:row r="466">
      <x:c r="A466" s="177" t="str">
        <x:v>DYN-REV-2-2029-1</x:v>
      </x:c>
      <x:c r="B466" s="177" t="str">
        <x:v>乐观情形2029产品2量价份额</x:v>
      </x:c>
      <x:c r="C466" s="230" t="n">
        <x:f>'量价空间'!H106</x:f>
        <x:v>7.1625708</x:v>
      </x:c>
      <x:c r="D466" s="230" t="n">
        <x:f>'机会模型'!T6</x:f>
        <x:v>7.1625708</x:v>
      </x:c>
      <x:c r="E466" s="230" t="n">
        <x:f>C466-D466</x:f>
        <x:v>0</x:v>
      </x:c>
      <x:c r="F466" s="177" t="str">
        <x:f>IF(ABS(E466)&lt;0.000001,"PASS","FAIL")</x:f>
        <x:v>PASS</x:v>
      </x:c>
      <x:c r="G466" s="177" t="str">
        <x:v>独立量价明细与机会收入相等</x:v>
      </x:c>
      <x:c r="H466" s="184"/>
    </x:row>
    <x:row r="467">
      <x:c r="A467" s="177" t="str">
        <x:v>DYN-REV-2-2029-2</x:v>
      </x:c>
      <x:c r="B467" s="177" t="str">
        <x:v>乐观情形2029产品3量价份额</x:v>
      </x:c>
      <x:c r="C467" s="230" t="n">
        <x:f>'量价空间'!H107</x:f>
        <x:v>39.15952128</x:v>
      </x:c>
      <x:c r="D467" s="230" t="n">
        <x:f>'机会模型'!T7</x:f>
        <x:v>39.15952128</x:v>
      </x:c>
      <x:c r="E467" s="230" t="n">
        <x:f>C467-D467</x:f>
        <x:v>0</x:v>
      </x:c>
      <x:c r="F467" s="177" t="str">
        <x:f>IF(ABS(E467)&lt;0.000001,"PASS","FAIL")</x:f>
        <x:v>PASS</x:v>
      </x:c>
      <x:c r="G467" s="177" t="str">
        <x:v>独立量价明细与机会收入相等</x:v>
      </x:c>
      <x:c r="H467" s="184"/>
    </x:row>
    <x:row r="468">
      <x:c r="A468" s="177" t="str">
        <x:v>DYN-REV-2-2029-3</x:v>
      </x:c>
      <x:c r="B468" s="177" t="str">
        <x:v>乐观情形2029产品4量价份额</x:v>
      </x:c>
      <x:c r="C468" s="230" t="n">
        <x:f>'量价空间'!H108</x:f>
        <x:v>87.10824200601601</x:v>
      </x:c>
      <x:c r="D468" s="230" t="n">
        <x:f>'机会模型'!T8</x:f>
        <x:v>87.10824200601601</x:v>
      </x:c>
      <x:c r="E468" s="230" t="n">
        <x:f>C468-D468</x:f>
        <x:v>0</x:v>
      </x:c>
      <x:c r="F468" s="177" t="str">
        <x:f>IF(ABS(E468)&lt;0.000001,"PASS","FAIL")</x:f>
        <x:v>PASS</x:v>
      </x:c>
      <x:c r="G468" s="177" t="str">
        <x:v>独立量价明细与机会收入相等</x:v>
      </x:c>
      <x:c r="H468" s="184"/>
    </x:row>
    <x:row r="469">
      <x:c r="A469" s="177" t="str">
        <x:v>DYN-REV-2-2029-4</x:v>
      </x:c>
      <x:c r="B469" s="177" t="str">
        <x:v>乐观情形2029产品5量价份额</x:v>
      </x:c>
      <x:c r="C469" s="230" t="n">
        <x:f>'量价空间'!H109</x:f>
        <x:v>79.40149493760002</x:v>
      </x:c>
      <x:c r="D469" s="230" t="n">
        <x:f>'机会模型'!T9</x:f>
        <x:v>79.40149493760002</x:v>
      </x:c>
      <x:c r="E469" s="230" t="n">
        <x:f>C469-D469</x:f>
        <x:v>0</x:v>
      </x:c>
      <x:c r="F469" s="177" t="str">
        <x:f>IF(ABS(E469)&lt;0.000001,"PASS","FAIL")</x:f>
        <x:v>PASS</x:v>
      </x:c>
      <x:c r="G469" s="177" t="str">
        <x:v>独立量价明细与机会收入相等</x:v>
      </x:c>
      <x:c r="H469" s="184"/>
    </x:row>
    <x:row r="470">
      <x:c r="A470" s="177" t="str">
        <x:v>DYN-REV-2-2029-5</x:v>
      </x:c>
      <x:c r="B470" s="177" t="str">
        <x:v>乐观情形2029产品6量价份额</x:v>
      </x:c>
      <x:c r="C470" s="230" t="n">
        <x:f>'量价空间'!H110</x:f>
        <x:v>28.663455744000004</x:v>
      </x:c>
      <x:c r="D470" s="230" t="n">
        <x:f>'机会模型'!T10</x:f>
        <x:v>28.663455744000004</x:v>
      </x:c>
      <x:c r="E470" s="230" t="n">
        <x:f>C470-D470</x:f>
        <x:v>0</x:v>
      </x:c>
      <x:c r="F470" s="177" t="str">
        <x:f>IF(ABS(E470)&lt;0.000001,"PASS","FAIL")</x:f>
        <x:v>PASS</x:v>
      </x:c>
      <x:c r="G470" s="177" t="str">
        <x:v>独立量价明细与机会收入相等</x:v>
      </x:c>
      <x:c r="H470" s="184"/>
    </x:row>
    <x:row r="471">
      <x:c r="A471" s="177" t="str">
        <x:v>DYN-REV-2-2029-6</x:v>
      </x:c>
      <x:c r="B471" s="177" t="str">
        <x:v>乐观情形2029产品7量价份额</x:v>
      </x:c>
      <x:c r="C471" s="230" t="n">
        <x:f>'量价空间'!H111</x:f>
        <x:v>13.098976</x:v>
      </x:c>
      <x:c r="D471" s="230" t="n">
        <x:f>'机会模型'!T11</x:f>
        <x:v>13.098976</x:v>
      </x:c>
      <x:c r="E471" s="230" t="n">
        <x:f>C471-D471</x:f>
        <x:v>0</x:v>
      </x:c>
      <x:c r="F471" s="177" t="str">
        <x:f>IF(ABS(E471)&lt;0.000001,"PASS","FAIL")</x:f>
        <x:v>PASS</x:v>
      </x:c>
      <x:c r="G471" s="177" t="str">
        <x:v>独立量价明细与机会收入相等</x:v>
      </x:c>
      <x:c r="H471" s="184"/>
    </x:row>
    <x:row r="472">
      <x:c r="A472" s="177" t="str">
        <x:v>DYN-REV-2-2030-0</x:v>
      </x:c>
      <x:c r="B472" s="177" t="str">
        <x:v>乐观情形2030产品1量价份额</x:v>
      </x:c>
      <x:c r="C472" s="230" t="n">
        <x:f>'量价空间'!H112</x:f>
        <x:v>0.5715943200000001</x:v>
      </x:c>
      <x:c r="D472" s="230" t="n">
        <x:f>'机会模型'!U5</x:f>
        <x:v>0.5715943200000001</x:v>
      </x:c>
      <x:c r="E472" s="230" t="n">
        <x:f>C472-D472</x:f>
        <x:v>0</x:v>
      </x:c>
      <x:c r="F472" s="177" t="str">
        <x:f>IF(ABS(E472)&lt;0.000001,"PASS","FAIL")</x:f>
        <x:v>PASS</x:v>
      </x:c>
      <x:c r="G472" s="177" t="str">
        <x:v>独立量价明细与机会收入相等</x:v>
      </x:c>
      <x:c r="H472" s="184"/>
    </x:row>
    <x:row r="473">
      <x:c r="A473" s="177" t="str">
        <x:v>DYN-REV-2-2030-1</x:v>
      </x:c>
      <x:c r="B473" s="177" t="str">
        <x:v>乐观情形2030产品2量价份额</x:v>
      </x:c>
      <x:c r="C473" s="230" t="n">
        <x:f>'量价空间'!H113</x:f>
        <x:v>7.113173760000001</x:v>
      </x:c>
      <x:c r="D473" s="230" t="n">
        <x:f>'机会模型'!U6</x:f>
        <x:v>7.113173760000001</x:v>
      </x:c>
      <x:c r="E473" s="230" t="n">
        <x:f>C473-D473</x:f>
        <x:v>0</x:v>
      </x:c>
      <x:c r="F473" s="177" t="str">
        <x:f>IF(ABS(E473)&lt;0.000001,"PASS","FAIL")</x:f>
        <x:v>PASS</x:v>
      </x:c>
      <x:c r="G473" s="177" t="str">
        <x:v>独立量价明细与机会收入相等</x:v>
      </x:c>
      <x:c r="H473" s="184"/>
    </x:row>
    <x:row r="474">
      <x:c r="A474" s="177" t="str">
        <x:v>DYN-REV-2-2030-2</x:v>
      </x:c>
      <x:c r="B474" s="177" t="str">
        <x:v>乐观情形2030产品3量价份额</x:v>
      </x:c>
      <x:c r="C474" s="230" t="n">
        <x:f>'量价空间'!H114</x:f>
        <x:v>47.80607040000001</x:v>
      </x:c>
      <x:c r="D474" s="230" t="n">
        <x:f>'机会模型'!U7</x:f>
        <x:v>47.80607040000001</x:v>
      </x:c>
      <x:c r="E474" s="230" t="n">
        <x:f>C474-D474</x:f>
        <x:v>0</x:v>
      </x:c>
      <x:c r="F474" s="177" t="str">
        <x:f>IF(ABS(E474)&lt;0.000001,"PASS","FAIL")</x:f>
        <x:v>PASS</x:v>
      </x:c>
      <x:c r="G474" s="177" t="str">
        <x:v>独立量价明细与机会收入相等</x:v>
      </x:c>
      <x:c r="H474" s="184"/>
    </x:row>
    <x:row r="475">
      <x:c r="A475" s="177" t="str">
        <x:v>DYN-REV-2-2030-3</x:v>
      </x:c>
      <x:c r="B475" s="177" t="str">
        <x:v>乐观情形2030产品4量价份额</x:v>
      </x:c>
      <x:c r="C475" s="230" t="n">
        <x:f>'量价空间'!H115</x:f>
        <x:v>133.73221911920643</x:v>
      </x:c>
      <x:c r="D475" s="230" t="n">
        <x:f>'机会模型'!U8</x:f>
        <x:v>133.73221911920643</x:v>
      </x:c>
      <x:c r="E475" s="230" t="n">
        <x:f>C475-D475</x:f>
        <x:v>0</x:v>
      </x:c>
      <x:c r="F475" s="177" t="str">
        <x:f>IF(ABS(E475)&lt;0.000001,"PASS","FAIL")</x:f>
        <x:v>PASS</x:v>
      </x:c>
      <x:c r="G475" s="177" t="str">
        <x:v>独立量价明细与机会收入相等</x:v>
      </x:c>
      <x:c r="H475" s="184"/>
    </x:row>
    <x:row r="476">
      <x:c r="A476" s="177" t="str">
        <x:v>DYN-REV-2-2030-4</x:v>
      </x:c>
      <x:c r="B476" s="177" t="str">
        <x:v>乐观情形2030产品5量价份额</x:v>
      </x:c>
      <x:c r="C476" s="230" t="n">
        <x:f>'量价空间'!H116</x:f>
        <x:v>112.38001606656002</x:v>
      </x:c>
      <x:c r="D476" s="230" t="n">
        <x:f>'机会模型'!U9</x:f>
        <x:v>112.38001606656002</x:v>
      </x:c>
      <x:c r="E476" s="230" t="n">
        <x:f>C476-D476</x:f>
        <x:v>0</x:v>
      </x:c>
      <x:c r="F476" s="177" t="str">
        <x:f>IF(ABS(E476)&lt;0.000001,"PASS","FAIL")</x:f>
        <x:v>PASS</x:v>
      </x:c>
      <x:c r="G476" s="177" t="str">
        <x:v>独立量价明细与机会收入相等</x:v>
      </x:c>
      <x:c r="H476" s="184"/>
    </x:row>
    <x:row r="477">
      <x:c r="A477" s="177" t="str">
        <x:v>DYN-REV-2-2030-5</x:v>
      </x:c>
      <x:c r="B477" s="177" t="str">
        <x:v>乐观情形2030产品6量价份额</x:v>
      </x:c>
      <x:c r="C477" s="230" t="n">
        <x:f>'量价空间'!H117</x:f>
        <x:v>36.76630155264</x:v>
      </x:c>
      <x:c r="D477" s="230" t="n">
        <x:f>'机会模型'!U10</x:f>
        <x:v>36.76630155264</x:v>
      </x:c>
      <x:c r="E477" s="230" t="n">
        <x:f>C477-D477</x:f>
        <x:v>0</x:v>
      </x:c>
      <x:c r="F477" s="177" t="str">
        <x:f>IF(ABS(E477)&lt;0.000001,"PASS","FAIL")</x:f>
        <x:v>PASS</x:v>
      </x:c>
      <x:c r="G477" s="177" t="str">
        <x:v>独立量价明细与机会收入相等</x:v>
      </x:c>
      <x:c r="H477" s="184"/>
    </x:row>
    <x:row r="478">
      <x:c r="A478" s="177" t="str">
        <x:v>DYN-REV-2-2030-6</x:v>
      </x:c>
      <x:c r="B478" s="177" t="str">
        <x:v>乐观情形2030产品7量价份额</x:v>
      </x:c>
      <x:c r="C478" s="230" t="n">
        <x:f>'量价空间'!H118</x:f>
        <x:v>21.113241600000002</x:v>
      </x:c>
      <x:c r="D478" s="230" t="n">
        <x:f>'机会模型'!U11</x:f>
        <x:v>21.113241600000002</x:v>
      </x:c>
      <x:c r="E478" s="230" t="n">
        <x:f>C478-D478</x:f>
        <x:v>0</x:v>
      </x:c>
      <x:c r="F478" s="177" t="str">
        <x:f>IF(ABS(E478)&lt;0.000001,"PASS","FAIL")</x:f>
        <x:v>PASS</x:v>
      </x:c>
      <x:c r="G478" s="177" t="str">
        <x:v>独立量价明细与机会收入相等</x:v>
      </x:c>
      <x:c r="H478" s="184"/>
    </x:row>
    <x:row r="479">
      <x:c r="A479" s="177" t="str">
        <x:v>DYN-DEMAND-800-2026</x:v>
      </x:c>
      <x:c r="B479" s="177" t="str">
        <x:v>2026800G数量单源</x:v>
      </x:c>
      <x:c r="C479" s="230" t="n">
        <x:f>'机会输入'!E7</x:f>
        <x:v>5600</x:v>
      </x:c>
      <x:c r="D479" s="230" t="n">
        <x:f>'行业趋势'!F6*100</x:f>
        <x:v>5600</x:v>
      </x:c>
      <x:c r="E479" s="230" t="n">
        <x:f>C479-D479</x:f>
        <x:v>0</x:v>
      </x:c>
      <x:c r="F479" s="177" t="str">
        <x:f>IF(ABS(E479)&lt;0.000001,"PASS","FAIL")</x:f>
        <x:v>PASS</x:v>
      </x:c>
      <x:c r="G479" s="177" t="str">
        <x:v>百万只换算万只</x:v>
      </x:c>
      <x:c r="H479" s="184"/>
    </x:row>
    <x:row r="480">
      <x:c r="A480" s="177" t="str">
        <x:v>DYN-DEMAND-16-2026</x:v>
      </x:c>
      <x:c r="B480" s="177" t="str">
        <x:v>20261.6T数量单源</x:v>
      </x:c>
      <x:c r="C480" s="230" t="n">
        <x:f>'机会输入'!E9</x:f>
        <x:v>1880</x:v>
      </x:c>
      <x:c r="D480" s="230" t="n">
        <x:f>'行业趋势'!G6*100</x:f>
        <x:v>1880</x:v>
      </x:c>
      <x:c r="E480" s="230" t="n">
        <x:f>C480-D480</x:f>
        <x:v>0</x:v>
      </x:c>
      <x:c r="F480" s="177" t="str">
        <x:f>IF(ABS(E480)&lt;0.000001,"PASS","FAIL")</x:f>
        <x:v>PASS</x:v>
      </x:c>
      <x:c r="G480" s="177" t="str">
        <x:v>百万只换算万只</x:v>
      </x:c>
      <x:c r="H480" s="184"/>
    </x:row>
    <x:row r="481">
      <x:c r="A481" s="177" t="str">
        <x:v>DYN-OCS-PRICE-2026</x:v>
      </x:c>
      <x:c r="B481" s="177" t="str">
        <x:v>2026大端口OCS初价引用</x:v>
      </x:c>
      <x:c r="C481" s="230" t="n">
        <x:f>'机会输入'!E14</x:f>
        <x:v>40</x:v>
      </x:c>
      <x:c r="D481" s="230" t="n">
        <x:f>'机会输入'!$I$36</x:f>
        <x:v>40</x:v>
      </x:c>
      <x:c r="E481" s="230" t="n">
        <x:f>C481-D481</x:f>
        <x:v>0</x:v>
      </x:c>
      <x:c r="F481" s="177" t="str">
        <x:f>IF(ABS(E481)&lt;0.000001,"PASS","FAIL")</x:f>
        <x:v>PASS</x:v>
      </x:c>
      <x:c r="G481" s="177" t="str">
        <x:v>大端口情形初价为唯一编辑源，小端口见规格输入</x:v>
      </x:c>
      <x:c r="H481" s="184"/>
    </x:row>
    <x:row r="482">
      <x:c r="A482" s="177" t="str">
        <x:v>DYN-CONSUMER-2026</x:v>
      </x:c>
      <x:c r="B482" s="177" t="str">
        <x:v>2026消费电子收入联动</x:v>
      </x:c>
      <x:c r="C482" s="230" t="n">
        <x:f>'合并预测'!B10</x:f>
        <x:v>0.839</x:v>
      </x:c>
      <x:c r="D482" s="230" t="n">
        <x:f>'机会输入'!C81</x:f>
        <x:v>0.839</x:v>
      </x:c>
      <x:c r="E482" s="230" t="n">
        <x:f>C482-D482</x:f>
        <x:v>0</x:v>
      </x:c>
      <x:c r="F482" s="177" t="str">
        <x:f>IF(ABS(E482)&lt;0.000001,"PASS","FAIL")</x:f>
        <x:v>PASS</x:v>
      </x:c>
      <x:c r="G482" s="177" t="str">
        <x:v>消费者增长率驱动逐年传导</x:v>
      </x:c>
      <x:c r="H482" s="184"/>
    </x:row>
    <x:row r="483">
      <x:c r="A483" s="177" t="str">
        <x:v>DYN-COMPANY-REV-2026</x:v>
      </x:c>
      <x:c r="B483" s="177" t="str">
        <x:v>2026公司收入加总</x:v>
      </x:c>
      <x:c r="C483" s="230" t="n">
        <x:f>'合并预测'!B14</x:f>
        <x:v>11.3114144</x:v>
      </x:c>
      <x:c r="D483" s="230" t="n">
        <x:f>SUM('合并预测'!B5:B11)</x:f>
        <x:v>11.3114144</x:v>
      </x:c>
      <x:c r="E483" s="230" t="n">
        <x:f>C483-D483</x:f>
        <x:v>0</x:v>
      </x:c>
      <x:c r="F483" s="177" t="str">
        <x:f>IF(ABS(E483)&lt;0.000001,"PASS","FAIL")</x:f>
        <x:v>PASS</x:v>
      </x:c>
      <x:c r="G483" s="177" t="str">
        <x:v>七个业务分部合计</x:v>
      </x:c>
      <x:c r="H483" s="184"/>
    </x:row>
    <x:row r="484">
      <x:c r="A484" s="177" t="str">
        <x:v>DYN-DEMAND-800-2027</x:v>
      </x:c>
      <x:c r="B484" s="177" t="str">
        <x:v>2027800G数量单源</x:v>
      </x:c>
      <x:c r="C484" s="230" t="n">
        <x:f>'机会输入'!F7</x:f>
        <x:v>7250</x:v>
      </x:c>
      <x:c r="D484" s="230" t="n">
        <x:f>'行业趋势'!F7*100</x:f>
        <x:v>7250</x:v>
      </x:c>
      <x:c r="E484" s="230" t="n">
        <x:f>C484-D484</x:f>
        <x:v>0</x:v>
      </x:c>
      <x:c r="F484" s="177" t="str">
        <x:f>IF(ABS(E484)&lt;0.000001,"PASS","FAIL")</x:f>
        <x:v>PASS</x:v>
      </x:c>
      <x:c r="G484" s="177" t="str">
        <x:v>百万只换算万只</x:v>
      </x:c>
      <x:c r="H484" s="184"/>
    </x:row>
    <x:row r="485">
      <x:c r="A485" s="177" t="str">
        <x:v>DYN-DEMAND-16-2027</x:v>
      </x:c>
      <x:c r="B485" s="177" t="str">
        <x:v>20271.6T数量单源</x:v>
      </x:c>
      <x:c r="C485" s="230" t="n">
        <x:f>'机会输入'!F9</x:f>
        <x:v>6400</x:v>
      </x:c>
      <x:c r="D485" s="230" t="n">
        <x:f>'行业趋势'!G7*100</x:f>
        <x:v>6400</x:v>
      </x:c>
      <x:c r="E485" s="230" t="n">
        <x:f>C485-D485</x:f>
        <x:v>0</x:v>
      </x:c>
      <x:c r="F485" s="177" t="str">
        <x:f>IF(ABS(E485)&lt;0.000001,"PASS","FAIL")</x:f>
        <x:v>PASS</x:v>
      </x:c>
      <x:c r="G485" s="177" t="str">
        <x:v>百万只换算万只</x:v>
      </x:c>
      <x:c r="H485" s="184"/>
    </x:row>
    <x:row r="486">
      <x:c r="A486" s="177" t="str">
        <x:v>DYN-OCS-PRICE-2027</x:v>
      </x:c>
      <x:c r="B486" s="177" t="str">
        <x:v>2027大端口OCS初价引用</x:v>
      </x:c>
      <x:c r="C486" s="230" t="n">
        <x:f>'机会输入'!F14</x:f>
        <x:v>40</x:v>
      </x:c>
      <x:c r="D486" s="230" t="n">
        <x:f>'机会输入'!$I$36</x:f>
        <x:v>40</x:v>
      </x:c>
      <x:c r="E486" s="230" t="n">
        <x:f>C486-D486</x:f>
        <x:v>0</x:v>
      </x:c>
      <x:c r="F486" s="177" t="str">
        <x:f>IF(ABS(E486)&lt;0.000001,"PASS","FAIL")</x:f>
        <x:v>PASS</x:v>
      </x:c>
      <x:c r="G486" s="177" t="str">
        <x:v>大端口情形初价为唯一编辑源，小端口见规格输入</x:v>
      </x:c>
      <x:c r="H486" s="184"/>
    </x:row>
    <x:row r="487">
      <x:c r="A487" s="177" t="str">
        <x:v>DYN-CONSUMER-2027</x:v>
      </x:c>
      <x:c r="B487" s="177" t="str">
        <x:v>2027消费电子收入联动</x:v>
      </x:c>
      <x:c r="C487" s="230" t="n">
        <x:f>'合并预测'!C10</x:f>
        <x:v>2.1814</x:v>
      </x:c>
      <x:c r="D487" s="230" t="n">
        <x:f>'机会输入'!D81</x:f>
        <x:v>2.1814</x:v>
      </x:c>
      <x:c r="E487" s="230" t="n">
        <x:f>C487-D487</x:f>
        <x:v>0</x:v>
      </x:c>
      <x:c r="F487" s="177" t="str">
        <x:f>IF(ABS(E487)&lt;0.000001,"PASS","FAIL")</x:f>
        <x:v>PASS</x:v>
      </x:c>
      <x:c r="G487" s="177" t="str">
        <x:v>消费者增长率驱动逐年传导</x:v>
      </x:c>
      <x:c r="H487" s="184"/>
    </x:row>
    <x:row r="488">
      <x:c r="A488" s="177" t="str">
        <x:v>DYN-COMPANY-REV-2027</x:v>
      </x:c>
      <x:c r="B488" s="177" t="str">
        <x:v>2027公司收入加总</x:v>
      </x:c>
      <x:c r="C488" s="230" t="n">
        <x:f>'合并预测'!C14</x:f>
        <x:v>39.989853600000004</x:v>
      </x:c>
      <x:c r="D488" s="230" t="n">
        <x:f>SUM('合并预测'!C5:C11)</x:f>
        <x:v>39.989853600000004</x:v>
      </x:c>
      <x:c r="E488" s="230" t="n">
        <x:f>C488-D488</x:f>
        <x:v>0</x:v>
      </x:c>
      <x:c r="F488" s="177" t="str">
        <x:f>IF(ABS(E488)&lt;0.000001,"PASS","FAIL")</x:f>
        <x:v>PASS</x:v>
      </x:c>
      <x:c r="G488" s="177" t="str">
        <x:v>七个业务分部合计</x:v>
      </x:c>
      <x:c r="H488" s="184"/>
    </x:row>
    <x:row r="489">
      <x:c r="A489" s="177" t="str">
        <x:v>DYN-DEMAND-800-2028</x:v>
      </x:c>
      <x:c r="B489" s="177" t="str">
        <x:v>2028800G数量单源</x:v>
      </x:c>
      <x:c r="C489" s="230" t="n">
        <x:f>'机会输入'!G7</x:f>
        <x:v>5000</x:v>
      </x:c>
      <x:c r="D489" s="230" t="n">
        <x:f>'行业趋势'!F8*100</x:f>
        <x:v>5000</x:v>
      </x:c>
      <x:c r="E489" s="230" t="n">
        <x:f>C489-D489</x:f>
        <x:v>0</x:v>
      </x:c>
      <x:c r="F489" s="177" t="str">
        <x:f>IF(ABS(E489)&lt;0.000001,"PASS","FAIL")</x:f>
        <x:v>PASS</x:v>
      </x:c>
      <x:c r="G489" s="177" t="str">
        <x:v>百万只换算万只</x:v>
      </x:c>
      <x:c r="H489" s="184"/>
    </x:row>
    <x:row r="490">
      <x:c r="A490" s="177" t="str">
        <x:v>DYN-DEMAND-16-2028</x:v>
      </x:c>
      <x:c r="B490" s="177" t="str">
        <x:v>20281.6T数量单源</x:v>
      </x:c>
      <x:c r="C490" s="230" t="n">
        <x:f>'机会输入'!G9</x:f>
        <x:v>10500</x:v>
      </x:c>
      <x:c r="D490" s="230" t="n">
        <x:f>'行业趋势'!G8*100</x:f>
        <x:v>10500</x:v>
      </x:c>
      <x:c r="E490" s="230" t="n">
        <x:f>C490-D490</x:f>
        <x:v>0</x:v>
      </x:c>
      <x:c r="F490" s="177" t="str">
        <x:f>IF(ABS(E490)&lt;0.000001,"PASS","FAIL")</x:f>
        <x:v>PASS</x:v>
      </x:c>
      <x:c r="G490" s="177" t="str">
        <x:v>百万只换算万只</x:v>
      </x:c>
      <x:c r="H490" s="184"/>
    </x:row>
    <x:row r="491">
      <x:c r="A491" s="177" t="str">
        <x:v>DYN-OCS-PRICE-2028</x:v>
      </x:c>
      <x:c r="B491" s="177" t="str">
        <x:v>2028大端口OCS初价引用</x:v>
      </x:c>
      <x:c r="C491" s="230" t="n">
        <x:f>'机会输入'!G14</x:f>
        <x:v>40</x:v>
      </x:c>
      <x:c r="D491" s="230" t="n">
        <x:f>'机会输入'!$I$36</x:f>
        <x:v>40</x:v>
      </x:c>
      <x:c r="E491" s="230" t="n">
        <x:f>C491-D491</x:f>
        <x:v>0</x:v>
      </x:c>
      <x:c r="F491" s="177" t="str">
        <x:f>IF(ABS(E491)&lt;0.000001,"PASS","FAIL")</x:f>
        <x:v>PASS</x:v>
      </x:c>
      <x:c r="G491" s="177" t="str">
        <x:v>大端口情形初价为唯一编辑源，小端口见规格输入</x:v>
      </x:c>
      <x:c r="H491" s="184"/>
    </x:row>
    <x:row r="492">
      <x:c r="A492" s="177" t="str">
        <x:v>DYN-CONSUMER-2028</x:v>
      </x:c>
      <x:c r="B492" s="177" t="str">
        <x:v>2028消费电子收入联动</x:v>
      </x:c>
      <x:c r="C492" s="230" t="n">
        <x:f>'合并预测'!D10</x:f>
        <x:v>4.47187</x:v>
      </x:c>
      <x:c r="D492" s="230" t="n">
        <x:f>'机会输入'!E81</x:f>
        <x:v>4.47187</x:v>
      </x:c>
      <x:c r="E492" s="230" t="n">
        <x:f>C492-D492</x:f>
        <x:v>0</x:v>
      </x:c>
      <x:c r="F492" s="177" t="str">
        <x:f>IF(ABS(E492)&lt;0.000001,"PASS","FAIL")</x:f>
        <x:v>PASS</x:v>
      </x:c>
      <x:c r="G492" s="177" t="str">
        <x:v>消费者增长率驱动逐年传导</x:v>
      </x:c>
      <x:c r="H492" s="184"/>
    </x:row>
    <x:row r="493">
      <x:c r="A493" s="177" t="str">
        <x:v>DYN-COMPANY-REV-2028</x:v>
      </x:c>
      <x:c r="B493" s="177" t="str">
        <x:v>2028公司收入加总</x:v>
      </x:c>
      <x:c r="C493" s="230" t="n">
        <x:f>'合并预测'!D14</x:f>
        <x:v>107.689760688</x:v>
      </x:c>
      <x:c r="D493" s="230" t="n">
        <x:f>SUM('合并预测'!D5:D11)</x:f>
        <x:v>107.689760688</x:v>
      </x:c>
      <x:c r="E493" s="230" t="n">
        <x:f>C493-D493</x:f>
        <x:v>0</x:v>
      </x:c>
      <x:c r="F493" s="177" t="str">
        <x:f>IF(ABS(E493)&lt;0.000001,"PASS","FAIL")</x:f>
        <x:v>PASS</x:v>
      </x:c>
      <x:c r="G493" s="177" t="str">
        <x:v>七个业务分部合计</x:v>
      </x:c>
      <x:c r="H493" s="184"/>
    </x:row>
    <x:row r="494">
      <x:c r="A494" s="177" t="str">
        <x:v>DYN-DEMAND-800-2029</x:v>
      </x:c>
      <x:c r="B494" s="177" t="str">
        <x:v>2029800G数量单源</x:v>
      </x:c>
      <x:c r="C494" s="230" t="n">
        <x:f>'机会输入'!H7</x:f>
        <x:v>3200</x:v>
      </x:c>
      <x:c r="D494" s="230" t="n">
        <x:f>'行业趋势'!F9*100</x:f>
        <x:v>3200</x:v>
      </x:c>
      <x:c r="E494" s="230" t="n">
        <x:f>C494-D494</x:f>
        <x:v>0</x:v>
      </x:c>
      <x:c r="F494" s="177" t="str">
        <x:f>IF(ABS(E494)&lt;0.000001,"PASS","FAIL")</x:f>
        <x:v>PASS</x:v>
      </x:c>
      <x:c r="G494" s="177" t="str">
        <x:v>百万只换算万只</x:v>
      </x:c>
      <x:c r="H494" s="184"/>
    </x:row>
    <x:row r="495">
      <x:c r="A495" s="177" t="str">
        <x:v>DYN-DEMAND-16-2029</x:v>
      </x:c>
      <x:c r="B495" s="177" t="str">
        <x:v>20291.6T数量单源</x:v>
      </x:c>
      <x:c r="C495" s="230" t="n">
        <x:f>'机会输入'!H9</x:f>
        <x:v>14500</x:v>
      </x:c>
      <x:c r="D495" s="230" t="n">
        <x:f>'行业趋势'!G9*100</x:f>
        <x:v>14500</x:v>
      </x:c>
      <x:c r="E495" s="230" t="n">
        <x:f>C495-D495</x:f>
        <x:v>0</x:v>
      </x:c>
      <x:c r="F495" s="177" t="str">
        <x:f>IF(ABS(E495)&lt;0.000001,"PASS","FAIL")</x:f>
        <x:v>PASS</x:v>
      </x:c>
      <x:c r="G495" s="177" t="str">
        <x:v>百万只换算万只</x:v>
      </x:c>
      <x:c r="H495" s="184"/>
    </x:row>
    <x:row r="496">
      <x:c r="A496" s="177" t="str">
        <x:v>DYN-OCS-PRICE-2029</x:v>
      </x:c>
      <x:c r="B496" s="177" t="str">
        <x:v>2029大端口OCS初价引用</x:v>
      </x:c>
      <x:c r="C496" s="230" t="n">
        <x:f>'机会输入'!H14</x:f>
        <x:v>40</x:v>
      </x:c>
      <x:c r="D496" s="230" t="n">
        <x:f>'机会输入'!$I$36</x:f>
        <x:v>40</x:v>
      </x:c>
      <x:c r="E496" s="230" t="n">
        <x:f>C496-D496</x:f>
        <x:v>0</x:v>
      </x:c>
      <x:c r="F496" s="177" t="str">
        <x:f>IF(ABS(E496)&lt;0.000001,"PASS","FAIL")</x:f>
        <x:v>PASS</x:v>
      </x:c>
      <x:c r="G496" s="177" t="str">
        <x:v>大端口情形初价为唯一编辑源，小端口见规格输入</x:v>
      </x:c>
      <x:c r="H496" s="184"/>
    </x:row>
    <x:row r="497">
      <x:c r="A497" s="177" t="str">
        <x:v>DYN-CONSUMER-2029</x:v>
      </x:c>
      <x:c r="B497" s="177" t="str">
        <x:v>2029消费电子收入联动</x:v>
      </x:c>
      <x:c r="C497" s="230" t="n">
        <x:f>'合并预测'!E10</x:f>
        <x:v>5.8134310000000005</x:v>
      </x:c>
      <x:c r="D497" s="230" t="n">
        <x:f>'机会输入'!F81</x:f>
        <x:v>5.8134310000000005</x:v>
      </x:c>
      <x:c r="E497" s="230" t="n">
        <x:f>C497-D497</x:f>
        <x:v>0</x:v>
      </x:c>
      <x:c r="F497" s="177" t="str">
        <x:f>IF(ABS(E497)&lt;0.000001,"PASS","FAIL")</x:f>
        <x:v>PASS</x:v>
      </x:c>
      <x:c r="G497" s="177" t="str">
        <x:v>消费者增长率驱动逐年传导</x:v>
      </x:c>
      <x:c r="H497" s="184"/>
    </x:row>
    <x:row r="498">
      <x:c r="A498" s="177" t="str">
        <x:v>DYN-COMPANY-REV-2029</x:v>
      </x:c>
      <x:c r="B498" s="177" t="str">
        <x:v>2029公司收入加总</x:v>
      </x:c>
      <x:c r="C498" s="230" t="n">
        <x:f>'合并预测'!E14</x:f>
        <x:v>184.96422548448004</x:v>
      </x:c>
      <x:c r="D498" s="230" t="n">
        <x:f>SUM('合并预测'!E5:E11)</x:f>
        <x:v>184.96422548448004</x:v>
      </x:c>
      <x:c r="E498" s="230" t="n">
        <x:f>C498-D498</x:f>
        <x:v>0</x:v>
      </x:c>
      <x:c r="F498" s="177" t="str">
        <x:f>IF(ABS(E498)&lt;0.000001,"PASS","FAIL")</x:f>
        <x:v>PASS</x:v>
      </x:c>
      <x:c r="G498" s="177" t="str">
        <x:v>七个业务分部合计</x:v>
      </x:c>
      <x:c r="H498" s="184"/>
    </x:row>
    <x:row r="499">
      <x:c r="A499" s="177" t="str">
        <x:v>DYN-DEMAND-800-2030</x:v>
      </x:c>
      <x:c r="B499" s="177" t="str">
        <x:v>2030800G数量单源</x:v>
      </x:c>
      <x:c r="C499" s="230" t="n">
        <x:f>'机会输入'!I7</x:f>
        <x:v>1800</x:v>
      </x:c>
      <x:c r="D499" s="230" t="n">
        <x:f>'行业趋势'!F10*100</x:f>
        <x:v>1800</x:v>
      </x:c>
      <x:c r="E499" s="230" t="n">
        <x:f>C499-D499</x:f>
        <x:v>0</x:v>
      </x:c>
      <x:c r="F499" s="177" t="str">
        <x:f>IF(ABS(E499)&lt;0.000001,"PASS","FAIL")</x:f>
        <x:v>PASS</x:v>
      </x:c>
      <x:c r="G499" s="177" t="str">
        <x:v>百万只换算万只</x:v>
      </x:c>
      <x:c r="H499" s="184"/>
    </x:row>
    <x:row r="500">
      <x:c r="A500" s="177" t="str">
        <x:v>DYN-DEMAND-16-2030</x:v>
      </x:c>
      <x:c r="B500" s="177" t="str">
        <x:v>20301.6T数量单源</x:v>
      </x:c>
      <x:c r="C500" s="230" t="n">
        <x:f>'机会输入'!I9</x:f>
        <x:v>16000</x:v>
      </x:c>
      <x:c r="D500" s="230" t="n">
        <x:f>'行业趋势'!G10*100</x:f>
        <x:v>16000</x:v>
      </x:c>
      <x:c r="E500" s="230" t="n">
        <x:f>C500-D500</x:f>
        <x:v>0</x:v>
      </x:c>
      <x:c r="F500" s="177" t="str">
        <x:f>IF(ABS(E500)&lt;0.000001,"PASS","FAIL")</x:f>
        <x:v>PASS</x:v>
      </x:c>
      <x:c r="G500" s="177" t="str">
        <x:v>百万只换算万只</x:v>
      </x:c>
      <x:c r="H500" s="184"/>
    </x:row>
    <x:row r="501">
      <x:c r="A501" s="177" t="str">
        <x:v>DYN-OCS-PRICE-2030</x:v>
      </x:c>
      <x:c r="B501" s="177" t="str">
        <x:v>2030大端口OCS初价引用</x:v>
      </x:c>
      <x:c r="C501" s="230" t="n">
        <x:f>'机会输入'!I14</x:f>
        <x:v>40</x:v>
      </x:c>
      <x:c r="D501" s="230" t="n">
        <x:f>'机会输入'!$I$36</x:f>
        <x:v>40</x:v>
      </x:c>
      <x:c r="E501" s="230" t="n">
        <x:f>C501-D501</x:f>
        <x:v>0</x:v>
      </x:c>
      <x:c r="F501" s="177" t="str">
        <x:f>IF(ABS(E501)&lt;0.000001,"PASS","FAIL")</x:f>
        <x:v>PASS</x:v>
      </x:c>
      <x:c r="G501" s="177" t="str">
        <x:v>大端口情形初价为唯一编辑源，小端口见规格输入</x:v>
      </x:c>
      <x:c r="H501" s="184"/>
    </x:row>
    <x:row r="502">
      <x:c r="A502" s="177" t="str">
        <x:v>DYN-CONSUMER-2030</x:v>
      </x:c>
      <x:c r="B502" s="177" t="str">
        <x:v>2030消费电子收入联动</x:v>
      </x:c>
      <x:c r="C502" s="230" t="n">
        <x:f>'合并预测'!F10</x:f>
        <x:v>6.9761172</x:v>
      </x:c>
      <x:c r="D502" s="230" t="n">
        <x:f>'机会输入'!G81</x:f>
        <x:v>6.9761172</x:v>
      </x:c>
      <x:c r="E502" s="230" t="n">
        <x:f>C502-D502</x:f>
        <x:v>0</x:v>
      </x:c>
      <x:c r="F502" s="177" t="str">
        <x:f>IF(ABS(E502)&lt;0.000001,"PASS","FAIL")</x:f>
        <x:v>PASS</x:v>
      </x:c>
      <x:c r="G502" s="177" t="str">
        <x:v>消费者增长率驱动逐年传导</x:v>
      </x:c>
      <x:c r="H502" s="184"/>
    </x:row>
    <x:row r="503">
      <x:c r="A503" s="177" t="str">
        <x:v>DYN-COMPANY-REV-2030</x:v>
      </x:c>
      <x:c r="B503" s="177" t="str">
        <x:v>2030公司收入加总</x:v>
      </x:c>
      <x:c r="C503" s="230" t="n">
        <x:f>'合并预测'!F14</x:f>
        <x:v>256.108988794752</x:v>
      </x:c>
      <x:c r="D503" s="230" t="n">
        <x:f>SUM('合并预测'!F5:F11)</x:f>
        <x:v>256.108988794752</x:v>
      </x:c>
      <x:c r="E503" s="230" t="n">
        <x:f>C503-D503</x:f>
        <x:v>0</x:v>
      </x:c>
      <x:c r="F503" s="177" t="str">
        <x:f>IF(ABS(E503)&lt;0.000001,"PASS","FAIL")</x:f>
        <x:v>PASS</x:v>
      </x:c>
      <x:c r="G503" s="177" t="str">
        <x:v>七个业务分部合计</x:v>
      </x:c>
      <x:c r="H503" s="184"/>
    </x:row>
    <x:row r="504">
      <x:c r="A504" s="177" t="str">
        <x:v>DYN-RATIO-2025</x:v>
      </x:c>
      <x:c r="B504" s="177" t="str">
        <x:v>2025光模块/加速器</x:v>
      </x:c>
      <x:c r="C504" s="230" t="n">
        <x:f>'行业趋势'!D5</x:f>
        <x:v>2.957983193277311</x:v>
      </x:c>
      <x:c r="D504" s="230" t="n">
        <x:f>SUM('行业趋势'!E5:H5)/'行业趋势'!C5</x:f>
        <x:v>2.957983193277311</x:v>
      </x:c>
      <x:c r="E504" s="230" t="n">
        <x:f>C504-D504</x:f>
        <x:v>0</x:v>
      </x:c>
      <x:c r="F504" s="177" t="str">
        <x:f>IF(ABS(E504)&lt;0.000001,"PASS","FAIL")</x:f>
        <x:v>PASS</x:v>
      </x:c>
      <x:c r="G504" s="177" t="str">
        <x:v>同表分速率数量合计÷加速器出货</x:v>
      </x:c>
      <x:c r="H504" s="184"/>
    </x:row>
    <x:row r="505">
      <x:c r="A505" s="177" t="str">
        <x:v>DYN-RATIO-2026</x:v>
      </x:c>
      <x:c r="B505" s="177" t="str">
        <x:v>2026光模块/加速器</x:v>
      </x:c>
      <x:c r="C505" s="230" t="n">
        <x:f>'行业趋势'!D6</x:f>
        <x:v>4.600894501446988</x:v>
      </x:c>
      <x:c r="D505" s="230" t="n">
        <x:f>SUM('行业趋势'!E6:H6)/'行业趋势'!C6</x:f>
        <x:v>4.600894501446988</x:v>
      </x:c>
      <x:c r="E505" s="230" t="n">
        <x:f>C505-D505</x:f>
        <x:v>0</x:v>
      </x:c>
      <x:c r="F505" s="177" t="str">
        <x:f>IF(ABS(E505)&lt;0.000001,"PASS","FAIL")</x:f>
        <x:v>PASS</x:v>
      </x:c>
      <x:c r="G505" s="177" t="str">
        <x:v>同表分速率数量合计÷加速器出货</x:v>
      </x:c>
      <x:c r="H505" s="184"/>
    </x:row>
    <x:row r="506">
      <x:c r="A506" s="177" t="str">
        <x:v>DYN-RATIO-2027</x:v>
      </x:c>
      <x:c r="B506" s="177" t="str">
        <x:v>2027光模块/加速器</x:v>
      </x:c>
      <x:c r="C506" s="230" t="n">
        <x:f>'行业趋势'!D7</x:f>
        <x:v>5.273796398382947</x:v>
      </x:c>
      <x:c r="D506" s="230" t="n">
        <x:f>SUM('行业趋势'!E7:H7)/'行业趋势'!C7</x:f>
        <x:v>5.273796398382947</x:v>
      </x:c>
      <x:c r="E506" s="230" t="n">
        <x:f>C506-D506</x:f>
        <x:v>0</x:v>
      </x:c>
      <x:c r="F506" s="177" t="str">
        <x:f>IF(ABS(E506)&lt;0.000001,"PASS","FAIL")</x:f>
        <x:v>PASS</x:v>
      </x:c>
      <x:c r="G506" s="177" t="str">
        <x:v>同表分速率数量合计÷加速器出货</x:v>
      </x:c>
      <x:c r="H506" s="184"/>
    </x:row>
    <x:row r="507">
      <x:c r="A507" s="177" t="str">
        <x:v>DYN-RATIO-2028</x:v>
      </x:c>
      <x:c r="B507" s="177" t="str">
        <x:v>2028光模块/加速器</x:v>
      </x:c>
      <x:c r="C507" s="230" t="n">
        <x:f>'行业趋势'!D8</x:f>
        <x:v>5.3999999999999995</x:v>
      </x:c>
      <x:c r="D507" s="230" t="n">
        <x:f>SUM('行业趋势'!E8:H8)/'行业趋势'!C8</x:f>
        <x:v>5.3999999999999995</x:v>
      </x:c>
      <x:c r="E507" s="230" t="n">
        <x:f>C507-D507</x:f>
        <x:v>0</x:v>
      </x:c>
      <x:c r="F507" s="177" t="str">
        <x:f>IF(ABS(E507)&lt;0.000001,"PASS","FAIL")</x:f>
        <x:v>PASS</x:v>
      </x:c>
      <x:c r="G507" s="177" t="str">
        <x:v>同表分速率数量合计÷加速器出货</x:v>
      </x:c>
      <x:c r="H507" s="184"/>
    </x:row>
    <x:row r="508">
      <x:c r="A508" s="177" t="str">
        <x:v>DYN-RATIO-2029</x:v>
      </x:c>
      <x:c r="B508" s="177" t="str">
        <x:v>2029光模块/加速器</x:v>
      </x:c>
      <x:c r="C508" s="230" t="n">
        <x:f>'行业趋势'!D9</x:f>
        <x:v>5.8</x:v>
      </x:c>
      <x:c r="D508" s="230" t="n">
        <x:f>SUM('行业趋势'!E9:H9)/'行业趋势'!C9</x:f>
        <x:v>5.8</x:v>
      </x:c>
      <x:c r="E508" s="230" t="n">
        <x:f>C508-D508</x:f>
        <x:v>0</x:v>
      </x:c>
      <x:c r="F508" s="177" t="str">
        <x:f>IF(ABS(E508)&lt;0.000001,"PASS","FAIL")</x:f>
        <x:v>PASS</x:v>
      </x:c>
      <x:c r="G508" s="177" t="str">
        <x:v>同表分速率数量合计÷加速器出货</x:v>
      </x:c>
      <x:c r="H508" s="184"/>
    </x:row>
    <x:row r="509">
      <x:c r="A509" s="177" t="str">
        <x:v>DYN-RATIO-2030</x:v>
      </x:c>
      <x:c r="B509" s="177" t="str">
        <x:v>2030光模块/加速器</x:v>
      </x:c>
      <x:c r="C509" s="230" t="n">
        <x:f>'行业趋势'!D10</x:f>
        <x:v>6.2</x:v>
      </x:c>
      <x:c r="D509" s="230" t="n">
        <x:f>SUM('行业趋势'!E10:H10)/'行业趋势'!C10</x:f>
        <x:v>6.2</x:v>
      </x:c>
      <x:c r="E509" s="230" t="n">
        <x:f>C509-D509</x:f>
        <x:v>0</x:v>
      </x:c>
      <x:c r="F509" s="177" t="str">
        <x:f>IF(ABS(E509)&lt;0.000001,"PASS","FAIL")</x:f>
        <x:v>PASS</x:v>
      </x:c>
      <x:c r="G509" s="177" t="str">
        <x:v>同表分速率数量合计÷加速器出货</x:v>
      </x:c>
      <x:c r="H509" s="184"/>
    </x:row>
    <x:row r="510">
      <x:c r="A510" s="177" t="str">
        <x:v>DYN-SPEC-Q-6</x:v>
      </x:c>
      <x:c r="B510" s="177" t="str">
        <x:v>cautious 2026 pluggable-800g 800G数量</x:v>
      </x:c>
      <x:c r="C510" s="230" t="n">
        <x:f>'规格明细'!G6</x:f>
        <x:v>560000000</x:v>
      </x:c>
      <x:c r="D510" s="230" t="n">
        <x:f>'规格明细'!D6*10000*'规格明细'!E6</x:f>
        <x:v>560000000</x:v>
      </x:c>
      <x:c r="E510" s="230" t="n">
        <x:f>C510-D510</x:f>
        <x:v>0</x:v>
      </x:c>
      <x:c r="F510" s="177" t="str">
        <x:f>IF(ABS(E510)&lt;0.000001,"PASS","FAIL")</x:f>
        <x:v>PASS</x:v>
      </x:c>
      <x:c r="G510" s="177" t="str">
        <x:v>出货量×单位用量</x:v>
      </x:c>
      <x:c r="H510" s="184"/>
    </x:row>
    <x:row r="511">
      <x:c r="A511" s="177" t="str">
        <x:v>DYN-SPEC-TAM-6</x:v>
      </x:c>
      <x:c r="B511" s="177" t="str">
        <x:v>cautious 2026 pluggable-800g 800G空间</x:v>
      </x:c>
      <x:c r="C511" s="230" t="n">
        <x:f>'规格明细'!K6</x:f>
        <x:v>19.04</x:v>
      </x:c>
      <x:c r="D511" s="230" t="n">
        <x:f>'规格明细'!G6*'规格明细'!I6/100000000</x:f>
        <x:v>19.04</x:v>
      </x:c>
      <x:c r="E511" s="230" t="n">
        <x:f>C511-D511</x:f>
        <x:v>0</x:v>
      </x:c>
      <x:c r="F511" s="177" t="str">
        <x:f>IF(ABS(E511)&lt;0.000001,"PASS","FAIL")</x:f>
        <x:v>PASS</x:v>
      </x:c>
      <x:c r="G511" s="177" t="str">
        <x:v>组件数量×价格</x:v>
      </x:c>
      <x:c r="H511" s="184"/>
    </x:row>
    <x:row r="512">
      <x:c r="A512" s="177" t="str">
        <x:v>DYN-SPEC-REV-6</x:v>
      </x:c>
      <x:c r="B512" s="177" t="str">
        <x:v>cautious 2026 pluggable-800g 800G理论收入</x:v>
      </x:c>
      <x:c r="C512" s="230" t="n">
        <x:f>'规格明细'!L6</x:f>
        <x:v>0.6664</x:v>
      </x:c>
      <x:c r="D512" s="230" t="n">
        <x:f>'规格明细'!K6*'规格明细'!J6</x:f>
        <x:v>0.6664</x:v>
      </x:c>
      <x:c r="E512" s="230" t="n">
        <x:f>C512-D512</x:f>
        <x:v>0</x:v>
      </x:c>
      <x:c r="F512" s="177" t="str">
        <x:f>IF(ABS(E512)&lt;0.000001,"PASS","FAIL")</x:f>
        <x:v>PASS</x:v>
      </x:c>
      <x:c r="G512" s="177" t="str">
        <x:v>份额只乘一次</x:v>
      </x:c>
      <x:c r="H512" s="184"/>
    </x:row>
    <x:row r="513">
      <x:c r="A513" s="177" t="str">
        <x:v>DYN-SPEC-Q-7</x:v>
      </x:c>
      <x:c r="B513" s="177" t="str">
        <x:v>cautious 2026 pluggable-1p6t 1.6T数量</x:v>
      </x:c>
      <x:c r="C513" s="230" t="n">
        <x:f>'规格明细'!G7</x:f>
        <x:v>188000000</x:v>
      </x:c>
      <x:c r="D513" s="230" t="n">
        <x:f>'规格明细'!D7*10000*'规格明细'!E7</x:f>
        <x:v>188000000</x:v>
      </x:c>
      <x:c r="E513" s="230" t="n">
        <x:f>C513-D513</x:f>
        <x:v>0</x:v>
      </x:c>
      <x:c r="F513" s="177" t="str">
        <x:f>IF(ABS(E513)&lt;0.000001,"PASS","FAIL")</x:f>
        <x:v>PASS</x:v>
      </x:c>
      <x:c r="G513" s="177" t="str">
        <x:v>出货量×单位用量</x:v>
      </x:c>
      <x:c r="H513" s="184"/>
    </x:row>
    <x:row r="514">
      <x:c r="A514" s="177" t="str">
        <x:v>DYN-SPEC-TAM-7</x:v>
      </x:c>
      <x:c r="B514" s="177" t="str">
        <x:v>cautious 2026 pluggable-1p6t 1.6T空间</x:v>
      </x:c>
      <x:c r="C514" s="230" t="n">
        <x:f>'规格明细'!K7</x:f>
        <x:v>8.9488</x:v>
      </x:c>
      <x:c r="D514" s="230" t="n">
        <x:f>'规格明细'!G7*'规格明细'!I7/100000000</x:f>
        <x:v>8.9488</x:v>
      </x:c>
      <x:c r="E514" s="230" t="n">
        <x:f>C514-D514</x:f>
        <x:v>0</x:v>
      </x:c>
      <x:c r="F514" s="177" t="str">
        <x:f>IF(ABS(E514)&lt;0.000001,"PASS","FAIL")</x:f>
        <x:v>PASS</x:v>
      </x:c>
      <x:c r="G514" s="177" t="str">
        <x:v>组件数量×价格</x:v>
      </x:c>
      <x:c r="H514" s="184"/>
    </x:row>
    <x:row r="515">
      <x:c r="A515" s="177" t="str">
        <x:v>DYN-SPEC-REV-7</x:v>
      </x:c>
      <x:c r="B515" s="177" t="str">
        <x:v>cautious 2026 pluggable-1p6t 1.6T理论收入</x:v>
      </x:c>
      <x:c r="C515" s="230" t="n">
        <x:f>'规格明细'!L7</x:f>
        <x:v>0.31320800000000004</x:v>
      </x:c>
      <x:c r="D515" s="230" t="n">
        <x:f>'规格明细'!K7*'规格明细'!J7</x:f>
        <x:v>0.31320800000000004</x:v>
      </x:c>
      <x:c r="E515" s="230" t="n">
        <x:f>C515-D515</x:f>
        <x:v>0</x:v>
      </x:c>
      <x:c r="F515" s="177" t="str">
        <x:f>IF(ABS(E515)&lt;0.000001,"PASS","FAIL")</x:f>
        <x:v>PASS</x:v>
      </x:c>
      <x:c r="G515" s="177" t="str">
        <x:v>份额只乘一次</x:v>
      </x:c>
      <x:c r="H515" s="184"/>
    </x:row>
    <x:row r="516">
      <x:c r="A516" s="177" t="str">
        <x:v>DYN-SPEC-Q-8</x:v>
      </x:c>
      <x:c r="B516" s="177" t="str">
        <x:v>cautious 2026 ocs 小端口参考系统数量</x:v>
      </x:c>
      <x:c r="C516" s="230" t="n">
        <x:f>'规格明细'!G8</x:f>
        <x:v>3840000</x:v>
      </x:c>
      <x:c r="D516" s="230" t="n">
        <x:f>'规格明细'!D8*10000*'规格明细'!E8</x:f>
        <x:v>3840000</x:v>
      </x:c>
      <x:c r="E516" s="230" t="n">
        <x:f>C516-D516</x:f>
        <x:v>0</x:v>
      </x:c>
      <x:c r="F516" s="177" t="str">
        <x:f>IF(ABS(E516)&lt;0.000001,"PASS","FAIL")</x:f>
        <x:v>PASS</x:v>
      </x:c>
      <x:c r="G516" s="177" t="str">
        <x:v>出货量×单位用量</x:v>
      </x:c>
      <x:c r="H516" s="184"/>
    </x:row>
    <x:row r="517">
      <x:c r="A517" s="177" t="str">
        <x:v>DYN-SPEC-TAM-8</x:v>
      </x:c>
      <x:c r="B517" s="177" t="str">
        <x:v>cautious 2026 ocs 小端口参考系统空间</x:v>
      </x:c>
      <x:c r="C517" s="230" t="n">
        <x:f>'规格明细'!K8</x:f>
        <x:v>0.576</x:v>
      </x:c>
      <x:c r="D517" s="230" t="n">
        <x:f>'规格明细'!G8*'规格明细'!I8/100000000</x:f>
        <x:v>0.576</x:v>
      </x:c>
      <x:c r="E517" s="230" t="n">
        <x:f>C517-D517</x:f>
        <x:v>0</x:v>
      </x:c>
      <x:c r="F517" s="177" t="str">
        <x:f>IF(ABS(E517)&lt;0.000001,"PASS","FAIL")</x:f>
        <x:v>PASS</x:v>
      </x:c>
      <x:c r="G517" s="177" t="str">
        <x:v>组件数量×价格</x:v>
      </x:c>
      <x:c r="H517" s="184"/>
    </x:row>
    <x:row r="518">
      <x:c r="A518" s="177" t="str">
        <x:v>DYN-SPEC-REV-8</x:v>
      </x:c>
      <x:c r="B518" s="177" t="str">
        <x:v>cautious 2026 ocs 小端口参考系统理论收入</x:v>
      </x:c>
      <x:c r="C518" s="230" t="n">
        <x:f>'规格明细'!L8</x:f>
        <x:v>0.45359999999999995</x:v>
      </x:c>
      <x:c r="D518" s="230" t="n">
        <x:f>'规格明细'!K8*'规格明细'!J8</x:f>
        <x:v>0.45359999999999995</x:v>
      </x:c>
      <x:c r="E518" s="230" t="n">
        <x:f>C518-D518</x:f>
        <x:v>0</x:v>
      </x:c>
      <x:c r="F518" s="177" t="str">
        <x:f>IF(ABS(E518)&lt;0.000001,"PASS","FAIL")</x:f>
        <x:v>PASS</x:v>
      </x:c>
      <x:c r="G518" s="177" t="str">
        <x:v>份额只乘一次</x:v>
      </x:c>
      <x:c r="H518" s="184"/>
    </x:row>
    <x:row r="519">
      <x:c r="A519" s="177" t="str">
        <x:v>DYN-SPEC-Q-9</x:v>
      </x:c>
      <x:c r="B519" s="177" t="str">
        <x:v>cautious 2026 ocs 大端口320×320数量</x:v>
      </x:c>
      <x:c r="C519" s="230" t="n">
        <x:f>'规格明细'!G9</x:f>
        <x:v>3200000</x:v>
      </x:c>
      <x:c r="D519" s="230" t="n">
        <x:f>'规格明细'!D9*10000*'规格明细'!E9</x:f>
        <x:v>3200000</x:v>
      </x:c>
      <x:c r="E519" s="230" t="n">
        <x:f>C519-D519</x:f>
        <x:v>0</x:v>
      </x:c>
      <x:c r="F519" s="177" t="str">
        <x:f>IF(ABS(E519)&lt;0.000001,"PASS","FAIL")</x:f>
        <x:v>PASS</x:v>
      </x:c>
      <x:c r="G519" s="177" t="str">
        <x:v>出货量×单位用量</x:v>
      </x:c>
      <x:c r="H519" s="184"/>
    </x:row>
    <x:row r="520">
      <x:c r="A520" s="177" t="str">
        <x:v>DYN-SPEC-TAM-9</x:v>
      </x:c>
      <x:c r="B520" s="177" t="str">
        <x:v>cautious 2026 ocs 大端口320×320空间</x:v>
      </x:c>
      <x:c r="C520" s="230" t="n">
        <x:f>'规格明细'!K9</x:f>
        <x:v>0.96</x:v>
      </x:c>
      <x:c r="D520" s="230" t="n">
        <x:f>'规格明细'!G9*'规格明细'!I9/100000000</x:f>
        <x:v>0.96</x:v>
      </x:c>
      <x:c r="E520" s="230" t="n">
        <x:f>C520-D520</x:f>
        <x:v>0</x:v>
      </x:c>
      <x:c r="F520" s="177" t="str">
        <x:f>IF(ABS(E520)&lt;0.000001,"PASS","FAIL")</x:f>
        <x:v>PASS</x:v>
      </x:c>
      <x:c r="G520" s="177" t="str">
        <x:v>组件数量×价格</x:v>
      </x:c>
      <x:c r="H520" s="184"/>
    </x:row>
    <x:row r="521">
      <x:c r="A521" s="177" t="str">
        <x:v>DYN-SPEC-REV-9</x:v>
      </x:c>
      <x:c r="B521" s="177" t="str">
        <x:v>cautious 2026 ocs 大端口320×320理论收入</x:v>
      </x:c>
      <x:c r="C521" s="230" t="n">
        <x:f>'规格明细'!L9</x:f>
        <x:v>0.798</x:v>
      </x:c>
      <x:c r="D521" s="230" t="n">
        <x:f>'规格明细'!K9*'规格明细'!J9</x:f>
        <x:v>0.798</x:v>
      </x:c>
      <x:c r="E521" s="230" t="n">
        <x:f>C521-D521</x:f>
        <x:v>0</x:v>
      </x:c>
      <x:c r="F521" s="177" t="str">
        <x:f>IF(ABS(E521)&lt;0.000001,"PASS","FAIL")</x:f>
        <x:v>PASS</x:v>
      </x:c>
      <x:c r="G521" s="177" t="str">
        <x:v>份额只乘一次</x:v>
      </x:c>
      <x:c r="H521" s="184"/>
    </x:row>
    <x:row r="522">
      <x:c r="A522" s="177" t="str">
        <x:v>DYN-SPEC-Q-10</x:v>
      </x:c>
      <x:c r="B522" s="177" t="str">
        <x:v>cautious 2026 vGroove 102.4T数量</x:v>
      </x:c>
      <x:c r="C522" s="230" t="n">
        <x:f>'规格明细'!G10</x:f>
        <x:v>23040000</x:v>
      </x:c>
      <x:c r="D522" s="230" t="n">
        <x:f>'规格明细'!D10*10000*'规格明细'!E10</x:f>
        <x:v>23040000</x:v>
      </x:c>
      <x:c r="E522" s="230" t="n">
        <x:f>C522-D522</x:f>
        <x:v>0</x:v>
      </x:c>
      <x:c r="F522" s="177" t="str">
        <x:f>IF(ABS(E522)&lt;0.000001,"PASS","FAIL")</x:f>
        <x:v>PASS</x:v>
      </x:c>
      <x:c r="G522" s="177" t="str">
        <x:v>出货量×单位用量</x:v>
      </x:c>
      <x:c r="H522" s="184"/>
    </x:row>
    <x:row r="523">
      <x:c r="A523" s="177" t="str">
        <x:v>DYN-SPEC-TAM-10</x:v>
      </x:c>
      <x:c r="B523" s="177" t="str">
        <x:v>cautious 2026 vGroove 102.4T空间</x:v>
      </x:c>
      <x:c r="C523" s="230" t="n">
        <x:f>'规格明细'!K10</x:f>
        <x:v>1.7547264</x:v>
      </x:c>
      <x:c r="D523" s="230" t="n">
        <x:f>'规格明细'!G10*'规格明细'!I10/100000000</x:f>
        <x:v>1.7547264</x:v>
      </x:c>
      <x:c r="E523" s="230" t="n">
        <x:f>C523-D523</x:f>
        <x:v>0</x:v>
      </x:c>
      <x:c r="F523" s="177" t="str">
        <x:f>IF(ABS(E523)&lt;0.000001,"PASS","FAIL")</x:f>
        <x:v>PASS</x:v>
      </x:c>
      <x:c r="G523" s="177" t="str">
        <x:v>组件数量×价格</x:v>
      </x:c>
      <x:c r="H523" s="184"/>
    </x:row>
    <x:row r="524">
      <x:c r="A524" s="177" t="str">
        <x:v>DYN-SPEC-REV-10</x:v>
      </x:c>
      <x:c r="B524" s="177" t="str">
        <x:v>cautious 2026 vGroove 102.4T理论收入</x:v>
      </x:c>
      <x:c r="C524" s="230" t="n">
        <x:f>'规格明细'!L10</x:f>
        <x:v>0.69092352</x:v>
      </x:c>
      <x:c r="D524" s="230" t="n">
        <x:f>'规格明细'!K10*'规格明细'!J10</x:f>
        <x:v>0.69092352</x:v>
      </x:c>
      <x:c r="E524" s="230" t="n">
        <x:f>C524-D524</x:f>
        <x:v>0</x:v>
      </x:c>
      <x:c r="F524" s="177" t="str">
        <x:f>IF(ABS(E524)&lt;0.000001,"PASS","FAIL")</x:f>
        <x:v>PASS</x:v>
      </x:c>
      <x:c r="G524" s="177" t="str">
        <x:v>份额只乘一次</x:v>
      </x:c>
      <x:c r="H524" s="184"/>
    </x:row>
    <x:row r="525">
      <x:c r="A525" s="177" t="str">
        <x:v>DYN-SPEC-Q-11</x:v>
      </x:c>
      <x:c r="B525" s="177" t="str">
        <x:v>cautious 2026 vGroove 204.8T数量</x:v>
      </x:c>
      <x:c r="C525" s="230" t="n">
        <x:f>'规格明细'!G11</x:f>
        <x:v>0</x:v>
      </x:c>
      <x:c r="D525" s="230" t="n">
        <x:f>'规格明细'!D11*10000*'规格明细'!E11</x:f>
        <x:v>0</x:v>
      </x:c>
      <x:c r="E525" s="230" t="n">
        <x:f>C525-D525</x:f>
        <x:v>0</x:v>
      </x:c>
      <x:c r="F525" s="177" t="str">
        <x:f>IF(ABS(E525)&lt;0.000001,"PASS","FAIL")</x:f>
        <x:v>PASS</x:v>
      </x:c>
      <x:c r="G525" s="177" t="str">
        <x:v>出货量×单位用量</x:v>
      </x:c>
      <x:c r="H525" s="184"/>
    </x:row>
    <x:row r="526">
      <x:c r="A526" s="177" t="str">
        <x:v>DYN-SPEC-TAM-11</x:v>
      </x:c>
      <x:c r="B526" s="177" t="str">
        <x:v>cautious 2026 vGroove 204.8T空间</x:v>
      </x:c>
      <x:c r="C526" s="230" t="n">
        <x:f>'规格明细'!K11</x:f>
        <x:v>0</x:v>
      </x:c>
      <x:c r="D526" s="230" t="n">
        <x:f>'规格明细'!G11*'规格明细'!I11/100000000</x:f>
        <x:v>0</x:v>
      </x:c>
      <x:c r="E526" s="230" t="n">
        <x:f>C526-D526</x:f>
        <x:v>0</x:v>
      </x:c>
      <x:c r="F526" s="177" t="str">
        <x:f>IF(ABS(E526)&lt;0.000001,"PASS","FAIL")</x:f>
        <x:v>PASS</x:v>
      </x:c>
      <x:c r="G526" s="177" t="str">
        <x:v>组件数量×价格</x:v>
      </x:c>
      <x:c r="H526" s="184"/>
    </x:row>
    <x:row r="527">
      <x:c r="A527" s="177" t="str">
        <x:v>DYN-SPEC-REV-11</x:v>
      </x:c>
      <x:c r="B527" s="177" t="str">
        <x:v>cautious 2026 vGroove 204.8T理论收入</x:v>
      </x:c>
      <x:c r="C527" s="230" t="n">
        <x:f>'规格明细'!L11</x:f>
        <x:v>0</x:v>
      </x:c>
      <x:c r="D527" s="230" t="n">
        <x:f>'规格明细'!K11*'规格明细'!J11</x:f>
        <x:v>0</x:v>
      </x:c>
      <x:c r="E527" s="230" t="n">
        <x:f>C527-D527</x:f>
        <x:v>0</x:v>
      </x:c>
      <x:c r="F527" s="177" t="str">
        <x:f>IF(ABS(E527)&lt;0.000001,"PASS","FAIL")</x:f>
        <x:v>PASS</x:v>
      </x:c>
      <x:c r="G527" s="177" t="str">
        <x:v>份额只乘一次</x:v>
      </x:c>
      <x:c r="H527" s="184"/>
    </x:row>
    <x:row r="528">
      <x:c r="A528" s="177" t="str">
        <x:v>DYN-SPEC-Q-12</x:v>
      </x:c>
      <x:c r="B528" s="177" t="str">
        <x:v>cautious 2026 fauPrism 102.4T数量</x:v>
      </x:c>
      <x:c r="C528" s="230" t="n">
        <x:f>'规格明细'!G12</x:f>
        <x:v>23040000</x:v>
      </x:c>
      <x:c r="D528" s="230" t="n">
        <x:f>'规格明细'!D12*10000*'规格明细'!E12</x:f>
        <x:v>23040000</x:v>
      </x:c>
      <x:c r="E528" s="230" t="n">
        <x:f>C528-D528</x:f>
        <x:v>0</x:v>
      </x:c>
      <x:c r="F528" s="177" t="str">
        <x:f>IF(ABS(E528)&lt;0.000001,"PASS","FAIL")</x:f>
        <x:v>PASS</x:v>
      </x:c>
      <x:c r="G528" s="177" t="str">
        <x:v>出货量×单位用量</x:v>
      </x:c>
      <x:c r="H528" s="184"/>
    </x:row>
    <x:row r="529">
      <x:c r="A529" s="177" t="str">
        <x:v>DYN-SPEC-TAM-12</x:v>
      </x:c>
      <x:c r="B529" s="177" t="str">
        <x:v>cautious 2026 fauPrism 102.4T空间</x:v>
      </x:c>
      <x:c r="C529" s="230" t="n">
        <x:f>'规格明细'!K12</x:f>
        <x:v>2.506752</x:v>
      </x:c>
      <x:c r="D529" s="230" t="n">
        <x:f>'规格明细'!G12*'规格明细'!I12/100000000</x:f>
        <x:v>2.506752</x:v>
      </x:c>
      <x:c r="E529" s="230" t="n">
        <x:f>C529-D529</x:f>
        <x:v>0</x:v>
      </x:c>
      <x:c r="F529" s="177" t="str">
        <x:f>IF(ABS(E529)&lt;0.000001,"PASS","FAIL")</x:f>
        <x:v>PASS</x:v>
      </x:c>
      <x:c r="G529" s="177" t="str">
        <x:v>组件数量×价格</x:v>
      </x:c>
      <x:c r="H529" s="184"/>
    </x:row>
    <x:row r="530">
      <x:c r="A530" s="177" t="str">
        <x:v>DYN-SPEC-REV-12</x:v>
      </x:c>
      <x:c r="B530" s="177" t="str">
        <x:v>cautious 2026 fauPrism 102.4T理论收入</x:v>
      </x:c>
      <x:c r="C530" s="230" t="n">
        <x:f>'规格明细'!L12</x:f>
        <x:v>1.1280384</x:v>
      </x:c>
      <x:c r="D530" s="230" t="n">
        <x:f>'规格明细'!K12*'规格明细'!J12</x:f>
        <x:v>1.1280384</x:v>
      </x:c>
      <x:c r="E530" s="230" t="n">
        <x:f>C530-D530</x:f>
        <x:v>0</x:v>
      </x:c>
      <x:c r="F530" s="177" t="str">
        <x:f>IF(ABS(E530)&lt;0.000001,"PASS","FAIL")</x:f>
        <x:v>PASS</x:v>
      </x:c>
      <x:c r="G530" s="177" t="str">
        <x:v>份额只乘一次</x:v>
      </x:c>
      <x:c r="H530" s="184"/>
    </x:row>
    <x:row r="531">
      <x:c r="A531" s="177" t="str">
        <x:v>DYN-SPEC-Q-13</x:v>
      </x:c>
      <x:c r="B531" s="177" t="str">
        <x:v>cautious 2026 fauPrism 204.8T数量</x:v>
      </x:c>
      <x:c r="C531" s="230" t="n">
        <x:f>'规格明细'!G13</x:f>
        <x:v>0</x:v>
      </x:c>
      <x:c r="D531" s="230" t="n">
        <x:f>'规格明细'!D13*10000*'规格明细'!E13</x:f>
        <x:v>0</x:v>
      </x:c>
      <x:c r="E531" s="230" t="n">
        <x:f>C531-D531</x:f>
        <x:v>0</x:v>
      </x:c>
      <x:c r="F531" s="177" t="str">
        <x:f>IF(ABS(E531)&lt;0.000001,"PASS","FAIL")</x:f>
        <x:v>PASS</x:v>
      </x:c>
      <x:c r="G531" s="177" t="str">
        <x:v>出货量×单位用量</x:v>
      </x:c>
      <x:c r="H531" s="184"/>
    </x:row>
    <x:row r="532">
      <x:c r="A532" s="177" t="str">
        <x:v>DYN-SPEC-TAM-13</x:v>
      </x:c>
      <x:c r="B532" s="177" t="str">
        <x:v>cautious 2026 fauPrism 204.8T空间</x:v>
      </x:c>
      <x:c r="C532" s="230" t="n">
        <x:f>'规格明细'!K13</x:f>
        <x:v>0</x:v>
      </x:c>
      <x:c r="D532" s="230" t="n">
        <x:f>'规格明细'!G13*'规格明细'!I13/100000000</x:f>
        <x:v>0</x:v>
      </x:c>
      <x:c r="E532" s="230" t="n">
        <x:f>C532-D532</x:f>
        <x:v>0</x:v>
      </x:c>
      <x:c r="F532" s="177" t="str">
        <x:f>IF(ABS(E532)&lt;0.000001,"PASS","FAIL")</x:f>
        <x:v>PASS</x:v>
      </x:c>
      <x:c r="G532" s="177" t="str">
        <x:v>组件数量×价格</x:v>
      </x:c>
      <x:c r="H532" s="184"/>
    </x:row>
    <x:row r="533">
      <x:c r="A533" s="177" t="str">
        <x:v>DYN-SPEC-REV-13</x:v>
      </x:c>
      <x:c r="B533" s="177" t="str">
        <x:v>cautious 2026 fauPrism 204.8T理论收入</x:v>
      </x:c>
      <x:c r="C533" s="230" t="n">
        <x:f>'规格明细'!L13</x:f>
        <x:v>0</x:v>
      </x:c>
      <x:c r="D533" s="230" t="n">
        <x:f>'规格明细'!K13*'规格明细'!J13</x:f>
        <x:v>0</x:v>
      </x:c>
      <x:c r="E533" s="230" t="n">
        <x:f>C533-D533</x:f>
        <x:v>0</x:v>
      </x:c>
      <x:c r="F533" s="177" t="str">
        <x:f>IF(ABS(E533)&lt;0.000001,"PASS","FAIL")</x:f>
        <x:v>PASS</x:v>
      </x:c>
      <x:c r="G533" s="177" t="str">
        <x:v>份额只乘一次</x:v>
      </x:c>
      <x:c r="H533" s="184"/>
    </x:row>
    <x:row r="534">
      <x:c r="A534" s="177" t="str">
        <x:v>DYN-SPEC-Q-14</x:v>
      </x:c>
      <x:c r="B534" s="177" t="str">
        <x:v>cautious 2026 externalLaser 102.4T数量</x:v>
      </x:c>
      <x:c r="C534" s="230" t="n">
        <x:f>'规格明细'!G14</x:f>
        <x:v>2560000</x:v>
      </x:c>
      <x:c r="D534" s="230" t="n">
        <x:f>'规格明细'!D14*10000*'规格明细'!E14</x:f>
        <x:v>2560000</x:v>
      </x:c>
      <x:c r="E534" s="230" t="n">
        <x:f>C534-D534</x:f>
        <x:v>0</x:v>
      </x:c>
      <x:c r="F534" s="177" t="str">
        <x:f>IF(ABS(E534)&lt;0.000001,"PASS","FAIL")</x:f>
        <x:v>PASS</x:v>
      </x:c>
      <x:c r="G534" s="177" t="str">
        <x:v>出货量×单位用量</x:v>
      </x:c>
      <x:c r="H534" s="184"/>
    </x:row>
    <x:row r="535">
      <x:c r="A535" s="177" t="str">
        <x:v>DYN-SPEC-TAM-14</x:v>
      </x:c>
      <x:c r="B535" s="177" t="str">
        <x:v>cautious 2026 externalLaser 102.4T空间</x:v>
      </x:c>
      <x:c r="C535" s="230" t="n">
        <x:f>'规格明细'!K14</x:f>
        <x:v>1.39264</x:v>
      </x:c>
      <x:c r="D535" s="230" t="n">
        <x:f>'规格明细'!G14*'规格明细'!I14/100000000</x:f>
        <x:v>1.39264</x:v>
      </x:c>
      <x:c r="E535" s="230" t="n">
        <x:f>C535-D535</x:f>
        <x:v>0</x:v>
      </x:c>
      <x:c r="F535" s="177" t="str">
        <x:f>IF(ABS(E535)&lt;0.000001,"PASS","FAIL")</x:f>
        <x:v>PASS</x:v>
      </x:c>
      <x:c r="G535" s="177" t="str">
        <x:v>组件数量×价格</x:v>
      </x:c>
      <x:c r="H535" s="184"/>
    </x:row>
    <x:row r="536">
      <x:c r="A536" s="177" t="str">
        <x:v>DYN-SPEC-REV-14</x:v>
      </x:c>
      <x:c r="B536" s="177" t="str">
        <x:v>cautious 2026 externalLaser 102.4T理论收入</x:v>
      </x:c>
      <x:c r="C536" s="230" t="n">
        <x:f>'规格明细'!L14</x:f>
        <x:v>0.5483520000000001</x:v>
      </x:c>
      <x:c r="D536" s="230" t="n">
        <x:f>'规格明细'!K14*'规格明细'!J14</x:f>
        <x:v>0.5483520000000001</x:v>
      </x:c>
      <x:c r="E536" s="230" t="n">
        <x:f>C536-D536</x:f>
        <x:v>0</x:v>
      </x:c>
      <x:c r="F536" s="177" t="str">
        <x:f>IF(ABS(E536)&lt;0.000001,"PASS","FAIL")</x:f>
        <x:v>PASS</x:v>
      </x:c>
      <x:c r="G536" s="177" t="str">
        <x:v>份额只乘一次</x:v>
      </x:c>
      <x:c r="H536" s="184"/>
    </x:row>
    <x:row r="537">
      <x:c r="A537" s="177" t="str">
        <x:v>DYN-SPEC-Q-15</x:v>
      </x:c>
      <x:c r="B537" s="177" t="str">
        <x:v>cautious 2026 externalLaser 204.8T数量</x:v>
      </x:c>
      <x:c r="C537" s="230" t="n">
        <x:f>'规格明细'!G15</x:f>
        <x:v>0</x:v>
      </x:c>
      <x:c r="D537" s="230" t="n">
        <x:f>'规格明细'!D15*10000*'规格明细'!E15</x:f>
        <x:v>0</x:v>
      </x:c>
      <x:c r="E537" s="230" t="n">
        <x:f>C537-D537</x:f>
        <x:v>0</x:v>
      </x:c>
      <x:c r="F537" s="177" t="str">
        <x:f>IF(ABS(E537)&lt;0.000001,"PASS","FAIL")</x:f>
        <x:v>PASS</x:v>
      </x:c>
      <x:c r="G537" s="177" t="str">
        <x:v>出货量×单位用量</x:v>
      </x:c>
      <x:c r="H537" s="184"/>
    </x:row>
    <x:row r="538">
      <x:c r="A538" s="177" t="str">
        <x:v>DYN-SPEC-TAM-15</x:v>
      </x:c>
      <x:c r="B538" s="177" t="str">
        <x:v>cautious 2026 externalLaser 204.8T空间</x:v>
      </x:c>
      <x:c r="C538" s="230" t="n">
        <x:f>'规格明细'!K15</x:f>
        <x:v>0</x:v>
      </x:c>
      <x:c r="D538" s="230" t="n">
        <x:f>'规格明细'!G15*'规格明细'!I15/100000000</x:f>
        <x:v>0</x:v>
      </x:c>
      <x:c r="E538" s="230" t="n">
        <x:f>C538-D538</x:f>
        <x:v>0</x:v>
      </x:c>
      <x:c r="F538" s="177" t="str">
        <x:f>IF(ABS(E538)&lt;0.000001,"PASS","FAIL")</x:f>
        <x:v>PASS</x:v>
      </x:c>
      <x:c r="G538" s="177" t="str">
        <x:v>组件数量×价格</x:v>
      </x:c>
      <x:c r="H538" s="184"/>
    </x:row>
    <x:row r="539">
      <x:c r="A539" s="177" t="str">
        <x:v>DYN-SPEC-REV-15</x:v>
      </x:c>
      <x:c r="B539" s="177" t="str">
        <x:v>cautious 2026 externalLaser 204.8T理论收入</x:v>
      </x:c>
      <x:c r="C539" s="230" t="n">
        <x:f>'规格明细'!L15</x:f>
        <x:v>0</x:v>
      </x:c>
      <x:c r="D539" s="230" t="n">
        <x:f>'规格明细'!K15*'规格明细'!J15</x:f>
        <x:v>0</x:v>
      </x:c>
      <x:c r="E539" s="230" t="n">
        <x:f>C539-D539</x:f>
        <x:v>0</x:v>
      </x:c>
      <x:c r="F539" s="177" t="str">
        <x:f>IF(ABS(E539)&lt;0.000001,"PASS","FAIL")</x:f>
        <x:v>PASS</x:v>
      </x:c>
      <x:c r="G539" s="177" t="str">
        <x:v>份额只乘一次</x:v>
      </x:c>
      <x:c r="H539" s="184"/>
    </x:row>
    <x:row r="540">
      <x:c r="A540" s="177" t="str">
        <x:v>DYN-SPEC-Q-16</x:v>
      </x:c>
      <x:c r="B540" s="177" t="str">
        <x:v>cautious 2026 equipment 102.4T数量</x:v>
      </x:c>
      <x:c r="C540" s="230" t="n">
        <x:f>'规格明细'!G16</x:f>
        <x:v>640</x:v>
      </x:c>
      <x:c r="D540" s="230" t="n">
        <x:f>'规格明细'!D16*10000*'规格明细'!E16</x:f>
        <x:v>640</x:v>
      </x:c>
      <x:c r="E540" s="230" t="n">
        <x:f>C540-D540</x:f>
        <x:v>0</x:v>
      </x:c>
      <x:c r="F540" s="177" t="str">
        <x:f>IF(ABS(E540)&lt;0.000001,"PASS","FAIL")</x:f>
        <x:v>PASS</x:v>
      </x:c>
      <x:c r="G540" s="177" t="str">
        <x:v>出货量×单位用量</x:v>
      </x:c>
      <x:c r="H540" s="184"/>
    </x:row>
    <x:row r="541">
      <x:c r="A541" s="177" t="str">
        <x:v>DYN-SPEC-TAM-16</x:v>
      </x:c>
      <x:c r="B541" s="177" t="str">
        <x:v>cautious 2026 equipment 102.4T空间</x:v>
      </x:c>
      <x:c r="C541" s="230" t="n">
        <x:f>'规格明细'!K16</x:f>
        <x:v>0.34816</x:v>
      </x:c>
      <x:c r="D541" s="230" t="n">
        <x:f>'规格明细'!G16*'规格明细'!I16/100000000</x:f>
        <x:v>0.34816</x:v>
      </x:c>
      <x:c r="E541" s="230" t="n">
        <x:f>C541-D541</x:f>
        <x:v>0</x:v>
      </x:c>
      <x:c r="F541" s="177" t="str">
        <x:f>IF(ABS(E541)&lt;0.000001,"PASS","FAIL")</x:f>
        <x:v>PASS</x:v>
      </x:c>
      <x:c r="G541" s="177" t="str">
        <x:v>组件数量×价格</x:v>
      </x:c>
      <x:c r="H541" s="184"/>
    </x:row>
    <x:row r="542">
      <x:c r="A542" s="177" t="str">
        <x:v>DYN-SPEC-REV-16</x:v>
      </x:c>
      <x:c r="B542" s="177" t="str">
        <x:v>cautious 2026 equipment 102.4T理论收入</x:v>
      </x:c>
      <x:c r="C542" s="230" t="n">
        <x:f>'规格明细'!L16</x:f>
        <x:v>0.030464000000000005</x:v>
      </x:c>
      <x:c r="D542" s="230" t="n">
        <x:f>'规格明细'!K16*'规格明细'!J16</x:f>
        <x:v>0.030464000000000005</x:v>
      </x:c>
      <x:c r="E542" s="230" t="n">
        <x:f>C542-D542</x:f>
        <x:v>0</x:v>
      </x:c>
      <x:c r="F542" s="177" t="str">
        <x:f>IF(ABS(E542)&lt;0.000001,"PASS","FAIL")</x:f>
        <x:v>PASS</x:v>
      </x:c>
      <x:c r="G542" s="177" t="str">
        <x:v>份额只乘一次</x:v>
      </x:c>
      <x:c r="H542" s="184"/>
    </x:row>
    <x:row r="543">
      <x:c r="A543" s="177" t="str">
        <x:v>DYN-SPEC-Q-17</x:v>
      </x:c>
      <x:c r="B543" s="177" t="str">
        <x:v>cautious 2026 equipment 204.8T数量</x:v>
      </x:c>
      <x:c r="C543" s="230" t="n">
        <x:f>'规格明细'!G17</x:f>
        <x:v>0</x:v>
      </x:c>
      <x:c r="D543" s="230" t="n">
        <x:f>'规格明细'!D17*10000*'规格明细'!E17</x:f>
        <x:v>0</x:v>
      </x:c>
      <x:c r="E543" s="230" t="n">
        <x:f>C543-D543</x:f>
        <x:v>0</x:v>
      </x:c>
      <x:c r="F543" s="177" t="str">
        <x:f>IF(ABS(E543)&lt;0.000001,"PASS","FAIL")</x:f>
        <x:v>PASS</x:v>
      </x:c>
      <x:c r="G543" s="177" t="str">
        <x:v>出货量×单位用量</x:v>
      </x:c>
      <x:c r="H543" s="184"/>
    </x:row>
    <x:row r="544">
      <x:c r="A544" s="177" t="str">
        <x:v>DYN-SPEC-TAM-17</x:v>
      </x:c>
      <x:c r="B544" s="177" t="str">
        <x:v>cautious 2026 equipment 204.8T空间</x:v>
      </x:c>
      <x:c r="C544" s="230" t="n">
        <x:f>'规格明细'!K17</x:f>
        <x:v>0</x:v>
      </x:c>
      <x:c r="D544" s="230" t="n">
        <x:f>'规格明细'!G17*'规格明细'!I17/100000000</x:f>
        <x:v>0</x:v>
      </x:c>
      <x:c r="E544" s="230" t="n">
        <x:f>C544-D544</x:f>
        <x:v>0</x:v>
      </x:c>
      <x:c r="F544" s="177" t="str">
        <x:f>IF(ABS(E544)&lt;0.000001,"PASS","FAIL")</x:f>
        <x:v>PASS</x:v>
      </x:c>
      <x:c r="G544" s="177" t="str">
        <x:v>组件数量×价格</x:v>
      </x:c>
      <x:c r="H544" s="184"/>
    </x:row>
    <x:row r="545">
      <x:c r="A545" s="177" t="str">
        <x:v>DYN-SPEC-REV-17</x:v>
      </x:c>
      <x:c r="B545" s="177" t="str">
        <x:v>cautious 2026 equipment 204.8T理论收入</x:v>
      </x:c>
      <x:c r="C545" s="230" t="n">
        <x:f>'规格明细'!L17</x:f>
        <x:v>0</x:v>
      </x:c>
      <x:c r="D545" s="230" t="n">
        <x:f>'规格明细'!K17*'规格明细'!J17</x:f>
        <x:v>0</x:v>
      </x:c>
      <x:c r="E545" s="230" t="n">
        <x:f>C545-D545</x:f>
        <x:v>0</x:v>
      </x:c>
      <x:c r="F545" s="177" t="str">
        <x:f>IF(ABS(E545)&lt;0.000001,"PASS","FAIL")</x:f>
        <x:v>PASS</x:v>
      </x:c>
      <x:c r="G545" s="177" t="str">
        <x:v>份额只乘一次</x:v>
      </x:c>
      <x:c r="H545" s="184"/>
    </x:row>
    <x:row r="546">
      <x:c r="A546" s="177" t="str">
        <x:v>DYN-SPEC-Q-18</x:v>
      </x:c>
      <x:c r="B546" s="177" t="str">
        <x:v>cautious 2027 pluggable-800g 800G数量</x:v>
      </x:c>
      <x:c r="C546" s="230" t="n">
        <x:f>'规格明细'!G18</x:f>
        <x:v>725000000</x:v>
      </x:c>
      <x:c r="D546" s="230" t="n">
        <x:f>'规格明细'!D18*10000*'规格明细'!E18</x:f>
        <x:v>725000000</x:v>
      </x:c>
      <x:c r="E546" s="230" t="n">
        <x:f>C546-D546</x:f>
        <x:v>0</x:v>
      </x:c>
      <x:c r="F546" s="177" t="str">
        <x:f>IF(ABS(E546)&lt;0.000001,"PASS","FAIL")</x:f>
        <x:v>PASS</x:v>
      </x:c>
      <x:c r="G546" s="177" t="str">
        <x:v>出货量×单位用量</x:v>
      </x:c>
      <x:c r="H546" s="184"/>
    </x:row>
    <x:row r="547">
      <x:c r="A547" s="177" t="str">
        <x:v>DYN-SPEC-TAM-18</x:v>
      </x:c>
      <x:c r="B547" s="177" t="str">
        <x:v>cautious 2027 pluggable-800g 800G空间</x:v>
      </x:c>
      <x:c r="C547" s="230" t="n">
        <x:f>'规格明细'!K18</x:f>
        <x:v>22.185</x:v>
      </x:c>
      <x:c r="D547" s="230" t="n">
        <x:f>'规格明细'!G18*'规格明细'!I18/100000000</x:f>
        <x:v>22.185</x:v>
      </x:c>
      <x:c r="E547" s="230" t="n">
        <x:f>C547-D547</x:f>
        <x:v>0</x:v>
      </x:c>
      <x:c r="F547" s="177" t="str">
        <x:f>IF(ABS(E547)&lt;0.000001,"PASS","FAIL")</x:f>
        <x:v>PASS</x:v>
      </x:c>
      <x:c r="G547" s="177" t="str">
        <x:v>组件数量×价格</x:v>
      </x:c>
      <x:c r="H547" s="184"/>
    </x:row>
    <x:row r="548">
      <x:c r="A548" s="177" t="str">
        <x:v>DYN-SPEC-REV-18</x:v>
      </x:c>
      <x:c r="B548" s="177" t="str">
        <x:v>cautious 2027 pluggable-800g 800G理论收入</x:v>
      </x:c>
      <x:c r="C548" s="230" t="n">
        <x:f>'规格明细'!L18</x:f>
        <x:v>1.7747999999999997</x:v>
      </x:c>
      <x:c r="D548" s="230" t="n">
        <x:f>'规格明细'!K18*'规格明细'!J18</x:f>
        <x:v>1.7747999999999997</x:v>
      </x:c>
      <x:c r="E548" s="230" t="n">
        <x:f>C548-D548</x:f>
        <x:v>0</x:v>
      </x:c>
      <x:c r="F548" s="177" t="str">
        <x:f>IF(ABS(E548)&lt;0.000001,"PASS","FAIL")</x:f>
        <x:v>PASS</x:v>
      </x:c>
      <x:c r="G548" s="177" t="str">
        <x:v>份额只乘一次</x:v>
      </x:c>
      <x:c r="H548" s="184"/>
    </x:row>
    <x:row r="549">
      <x:c r="A549" s="177" t="str">
        <x:v>DYN-SPEC-Q-19</x:v>
      </x:c>
      <x:c r="B549" s="177" t="str">
        <x:v>cautious 2027 pluggable-1p6t 1.6T数量</x:v>
      </x:c>
      <x:c r="C549" s="230" t="n">
        <x:f>'规格明细'!G19</x:f>
        <x:v>640000000</x:v>
      </x:c>
      <x:c r="D549" s="230" t="n">
        <x:f>'规格明细'!D19*10000*'规格明细'!E19</x:f>
        <x:v>640000000</x:v>
      </x:c>
      <x:c r="E549" s="230" t="n">
        <x:f>C549-D549</x:f>
        <x:v>0</x:v>
      </x:c>
      <x:c r="F549" s="177" t="str">
        <x:f>IF(ABS(E549)&lt;0.000001,"PASS","FAIL")</x:f>
        <x:v>PASS</x:v>
      </x:c>
      <x:c r="G549" s="177" t="str">
        <x:v>出货量×单位用量</x:v>
      </x:c>
      <x:c r="H549" s="184"/>
    </x:row>
    <x:row r="550">
      <x:c r="A550" s="177" t="str">
        <x:v>DYN-SPEC-TAM-19</x:v>
      </x:c>
      <x:c r="B550" s="177" t="str">
        <x:v>cautious 2027 pluggable-1p6t 1.6T空间</x:v>
      </x:c>
      <x:c r="C550" s="230" t="n">
        <x:f>'规格明细'!K19</x:f>
        <x:v>27.4176</x:v>
      </x:c>
      <x:c r="D550" s="230" t="n">
        <x:f>'规格明细'!G19*'规格明细'!I19/100000000</x:f>
        <x:v>27.4176</x:v>
      </x:c>
      <x:c r="E550" s="230" t="n">
        <x:f>C550-D550</x:f>
        <x:v>0</x:v>
      </x:c>
      <x:c r="F550" s="177" t="str">
        <x:f>IF(ABS(E550)&lt;0.000001,"PASS","FAIL")</x:f>
        <x:v>PASS</x:v>
      </x:c>
      <x:c r="G550" s="177" t="str">
        <x:v>组件数量×价格</x:v>
      </x:c>
      <x:c r="H550" s="184"/>
    </x:row>
    <x:row r="551">
      <x:c r="A551" s="177" t="str">
        <x:v>DYN-SPEC-REV-19</x:v>
      </x:c>
      <x:c r="B551" s="177" t="str">
        <x:v>cautious 2027 pluggable-1p6t 1.6T理论收入</x:v>
      </x:c>
      <x:c r="C551" s="230" t="n">
        <x:f>'规格明细'!L19</x:f>
        <x:v>2.193408</x:v>
      </x:c>
      <x:c r="D551" s="230" t="n">
        <x:f>'规格明细'!K19*'规格明细'!J19</x:f>
        <x:v>2.193408</x:v>
      </x:c>
      <x:c r="E551" s="230" t="n">
        <x:f>C551-D551</x:f>
        <x:v>0</x:v>
      </x:c>
      <x:c r="F551" s="177" t="str">
        <x:f>IF(ABS(E551)&lt;0.000001,"PASS","FAIL")</x:f>
        <x:v>PASS</x:v>
      </x:c>
      <x:c r="G551" s="177" t="str">
        <x:v>份额只乘一次</x:v>
      </x:c>
      <x:c r="H551" s="184"/>
    </x:row>
    <x:row r="552">
      <x:c r="A552" s="177" t="str">
        <x:v>DYN-SPEC-Q-20</x:v>
      </x:c>
      <x:c r="B552" s="177" t="str">
        <x:v>cautious 2027 ocs 小端口参考系统数量</x:v>
      </x:c>
      <x:c r="C552" s="230" t="n">
        <x:f>'规格明细'!G20</x:f>
        <x:v>15360000</x:v>
      </x:c>
      <x:c r="D552" s="230" t="n">
        <x:f>'规格明细'!D20*10000*'规格明细'!E20</x:f>
        <x:v>15360000</x:v>
      </x:c>
      <x:c r="E552" s="230" t="n">
        <x:f>C552-D552</x:f>
        <x:v>0</x:v>
      </x:c>
      <x:c r="F552" s="177" t="str">
        <x:f>IF(ABS(E552)&lt;0.000001,"PASS","FAIL")</x:f>
        <x:v>PASS</x:v>
      </x:c>
      <x:c r="G552" s="177" t="str">
        <x:v>出货量×单位用量</x:v>
      </x:c>
      <x:c r="H552" s="184"/>
    </x:row>
    <x:row r="553">
      <x:c r="A553" s="177" t="str">
        <x:v>DYN-SPEC-TAM-20</x:v>
      </x:c>
      <x:c r="B553" s="177" t="str">
        <x:v>cautious 2027 ocs 小端口参考系统空间</x:v>
      </x:c>
      <x:c r="C553" s="230" t="n">
        <x:f>'规格明细'!K20</x:f>
        <x:v>1.8432</x:v>
      </x:c>
      <x:c r="D553" s="230" t="n">
        <x:f>'规格明细'!G20*'规格明细'!I20/100000000</x:f>
        <x:v>1.8432</x:v>
      </x:c>
      <x:c r="E553" s="230" t="n">
        <x:f>C553-D553</x:f>
        <x:v>0</x:v>
      </x:c>
      <x:c r="F553" s="177" t="str">
        <x:f>IF(ABS(E553)&lt;0.000001,"PASS","FAIL")</x:f>
        <x:v>PASS</x:v>
      </x:c>
      <x:c r="G553" s="177" t="str">
        <x:v>组件数量×价格</x:v>
      </x:c>
      <x:c r="H553" s="184"/>
    </x:row>
    <x:row r="554">
      <x:c r="A554" s="177" t="str">
        <x:v>DYN-SPEC-REV-20</x:v>
      </x:c>
      <x:c r="B554" s="177" t="str">
        <x:v>cautious 2027 ocs 小端口参考系统理论收入</x:v>
      </x:c>
      <x:c r="C554" s="230" t="n">
        <x:f>'规格明细'!L20</x:f>
        <x:v>1.4745599999999999</x:v>
      </x:c>
      <x:c r="D554" s="230" t="n">
        <x:f>'规格明细'!K20*'规格明细'!J20</x:f>
        <x:v>1.4745599999999999</x:v>
      </x:c>
      <x:c r="E554" s="230" t="n">
        <x:f>C554-D554</x:f>
        <x:v>0</x:v>
      </x:c>
      <x:c r="F554" s="177" t="str">
        <x:f>IF(ABS(E554)&lt;0.000001,"PASS","FAIL")</x:f>
        <x:v>PASS</x:v>
      </x:c>
      <x:c r="G554" s="177" t="str">
        <x:v>份额只乘一次</x:v>
      </x:c>
      <x:c r="H554" s="184"/>
    </x:row>
    <x:row r="555">
      <x:c r="A555" s="177" t="str">
        <x:v>DYN-SPEC-Q-21</x:v>
      </x:c>
      <x:c r="B555" s="177" t="str">
        <x:v>cautious 2027 ocs 大端口320×320数量</x:v>
      </x:c>
      <x:c r="C555" s="230" t="n">
        <x:f>'规格明细'!G21</x:f>
        <x:v>25600000</x:v>
      </x:c>
      <x:c r="D555" s="230" t="n">
        <x:f>'规格明细'!D21*10000*'规格明细'!E21</x:f>
        <x:v>25600000</x:v>
      </x:c>
      <x:c r="E555" s="230" t="n">
        <x:f>C555-D555</x:f>
        <x:v>0</x:v>
      </x:c>
      <x:c r="F555" s="177" t="str">
        <x:f>IF(ABS(E555)&lt;0.000001,"PASS","FAIL")</x:f>
        <x:v>PASS</x:v>
      </x:c>
      <x:c r="G555" s="177" t="str">
        <x:v>出货量×单位用量</x:v>
      </x:c>
      <x:c r="H555" s="184"/>
    </x:row>
    <x:row r="556">
      <x:c r="A556" s="177" t="str">
        <x:v>DYN-SPEC-TAM-21</x:v>
      </x:c>
      <x:c r="B556" s="177" t="str">
        <x:v>cautious 2027 ocs 大端口320×320空间</x:v>
      </x:c>
      <x:c r="C556" s="230" t="n">
        <x:f>'规格明细'!K21</x:f>
        <x:v>6.144</x:v>
      </x:c>
      <x:c r="D556" s="230" t="n">
        <x:f>'规格明细'!G21*'规格明细'!I21/100000000</x:f>
        <x:v>6.144</x:v>
      </x:c>
      <x:c r="E556" s="230" t="n">
        <x:f>C556-D556</x:f>
        <x:v>0</x:v>
      </x:c>
      <x:c r="F556" s="177" t="str">
        <x:f>IF(ABS(E556)&lt;0.000001,"PASS","FAIL")</x:f>
        <x:v>PASS</x:v>
      </x:c>
      <x:c r="G556" s="177" t="str">
        <x:v>组件数量×价格</x:v>
      </x:c>
      <x:c r="H556" s="184"/>
    </x:row>
    <x:row r="557">
      <x:c r="A557" s="177" t="str">
        <x:v>DYN-SPEC-REV-21</x:v>
      </x:c>
      <x:c r="B557" s="177" t="str">
        <x:v>cautious 2027 ocs 大端口320×320理论收入</x:v>
      </x:c>
      <x:c r="C557" s="230" t="n">
        <x:f>'规格明细'!L21</x:f>
        <x:v>5.188266666666666</x:v>
      </x:c>
      <x:c r="D557" s="230" t="n">
        <x:f>'规格明细'!K21*'规格明细'!J21</x:f>
        <x:v>5.188266666666666</x:v>
      </x:c>
      <x:c r="E557" s="230" t="n">
        <x:f>C557-D557</x:f>
        <x:v>0</x:v>
      </x:c>
      <x:c r="F557" s="177" t="str">
        <x:f>IF(ABS(E557)&lt;0.000001,"PASS","FAIL")</x:f>
        <x:v>PASS</x:v>
      </x:c>
      <x:c r="G557" s="177" t="str">
        <x:v>份额只乘一次</x:v>
      </x:c>
      <x:c r="H557" s="184"/>
    </x:row>
    <x:row r="558">
      <x:c r="A558" s="177" t="str">
        <x:v>DYN-SPEC-Q-22</x:v>
      </x:c>
      <x:c r="B558" s="177" t="str">
        <x:v>cautious 2027 vGroove 102.4T数量</x:v>
      </x:c>
      <x:c r="C558" s="230" t="n">
        <x:f>'规格明细'!G22</x:f>
        <x:v>230400000</x:v>
      </x:c>
      <x:c r="D558" s="230" t="n">
        <x:f>'规格明细'!D22*10000*'规格明细'!E22</x:f>
        <x:v>230400000</x:v>
      </x:c>
      <x:c r="E558" s="230" t="n">
        <x:f>C558-D558</x:f>
        <x:v>0</x:v>
      </x:c>
      <x:c r="F558" s="177" t="str">
        <x:f>IF(ABS(E558)&lt;0.000001,"PASS","FAIL")</x:f>
        <x:v>PASS</x:v>
      </x:c>
      <x:c r="G558" s="177" t="str">
        <x:v>出货量×单位用量</x:v>
      </x:c>
      <x:c r="H558" s="184"/>
    </x:row>
    <x:row r="559">
      <x:c r="A559" s="177" t="str">
        <x:v>DYN-SPEC-TAM-22</x:v>
      </x:c>
      <x:c r="B559" s="177" t="str">
        <x:v>cautious 2027 vGroove 102.4T空间</x:v>
      </x:c>
      <x:c r="C559" s="230" t="n">
        <x:f>'规格明细'!K22</x:f>
        <x:v>14.0378112</x:v>
      </x:c>
      <x:c r="D559" s="230" t="n">
        <x:f>'规格明细'!G22*'规格明细'!I22/100000000</x:f>
        <x:v>14.0378112</x:v>
      </x:c>
      <x:c r="E559" s="230" t="n">
        <x:f>C559-D559</x:f>
        <x:v>0</x:v>
      </x:c>
      <x:c r="F559" s="177" t="str">
        <x:f>IF(ABS(E559)&lt;0.000001,"PASS","FAIL")</x:f>
        <x:v>PASS</x:v>
      </x:c>
      <x:c r="G559" s="177" t="str">
        <x:v>组件数量×价格</x:v>
      </x:c>
      <x:c r="H559" s="184"/>
    </x:row>
    <x:row r="560">
      <x:c r="A560" s="177" t="str">
        <x:v>DYN-SPEC-REV-22</x:v>
      </x:c>
      <x:c r="B560" s="177" t="str">
        <x:v>cautious 2027 vGroove 102.4T理论收入</x:v>
      </x:c>
      <x:c r="C560" s="230" t="n">
        <x:f>'规格明细'!L22</x:f>
        <x:v>6.2390272</x:v>
      </x:c>
      <x:c r="D560" s="230" t="n">
        <x:f>'规格明细'!K22*'规格明细'!J22</x:f>
        <x:v>6.2390272</x:v>
      </x:c>
      <x:c r="E560" s="230" t="n">
        <x:f>C560-D560</x:f>
        <x:v>0</x:v>
      </x:c>
      <x:c r="F560" s="177" t="str">
        <x:f>IF(ABS(E560)&lt;0.000001,"PASS","FAIL")</x:f>
        <x:v>PASS</x:v>
      </x:c>
      <x:c r="G560" s="177" t="str">
        <x:v>份额只乘一次</x:v>
      </x:c>
      <x:c r="H560" s="184"/>
    </x:row>
    <x:row r="561">
      <x:c r="A561" s="177" t="str">
        <x:v>DYN-SPEC-Q-23</x:v>
      </x:c>
      <x:c r="B561" s="177" t="str">
        <x:v>cautious 2027 vGroove 204.8T数量</x:v>
      </x:c>
      <x:c r="C561" s="230" t="n">
        <x:f>'规格明细'!G23</x:f>
        <x:v>0</x:v>
      </x:c>
      <x:c r="D561" s="230" t="n">
        <x:f>'规格明细'!D23*10000*'规格明细'!E23</x:f>
        <x:v>0</x:v>
      </x:c>
      <x:c r="E561" s="230" t="n">
        <x:f>C561-D561</x:f>
        <x:v>0</x:v>
      </x:c>
      <x:c r="F561" s="177" t="str">
        <x:f>IF(ABS(E561)&lt;0.000001,"PASS","FAIL")</x:f>
        <x:v>PASS</x:v>
      </x:c>
      <x:c r="G561" s="177" t="str">
        <x:v>出货量×单位用量</x:v>
      </x:c>
      <x:c r="H561" s="184"/>
    </x:row>
    <x:row r="562">
      <x:c r="A562" s="177" t="str">
        <x:v>DYN-SPEC-TAM-23</x:v>
      </x:c>
      <x:c r="B562" s="177" t="str">
        <x:v>cautious 2027 vGroove 204.8T空间</x:v>
      </x:c>
      <x:c r="C562" s="230" t="n">
        <x:f>'规格明细'!K23</x:f>
        <x:v>0</x:v>
      </x:c>
      <x:c r="D562" s="230" t="n">
        <x:f>'规格明细'!G23*'规格明细'!I23/100000000</x:f>
        <x:v>0</x:v>
      </x:c>
      <x:c r="E562" s="230" t="n">
        <x:f>C562-D562</x:f>
        <x:v>0</x:v>
      </x:c>
      <x:c r="F562" s="177" t="str">
        <x:f>IF(ABS(E562)&lt;0.000001,"PASS","FAIL")</x:f>
        <x:v>PASS</x:v>
      </x:c>
      <x:c r="G562" s="177" t="str">
        <x:v>组件数量×价格</x:v>
      </x:c>
      <x:c r="H562" s="184"/>
    </x:row>
    <x:row r="563">
      <x:c r="A563" s="177" t="str">
        <x:v>DYN-SPEC-REV-23</x:v>
      </x:c>
      <x:c r="B563" s="177" t="str">
        <x:v>cautious 2027 vGroove 204.8T理论收入</x:v>
      </x:c>
      <x:c r="C563" s="230" t="n">
        <x:f>'规格明细'!L23</x:f>
        <x:v>0</x:v>
      </x:c>
      <x:c r="D563" s="230" t="n">
        <x:f>'规格明细'!K23*'规格明细'!J23</x:f>
        <x:v>0</x:v>
      </x:c>
      <x:c r="E563" s="230" t="n">
        <x:f>C563-D563</x:f>
        <x:v>0</x:v>
      </x:c>
      <x:c r="F563" s="177" t="str">
        <x:f>IF(ABS(E563)&lt;0.000001,"PASS","FAIL")</x:f>
        <x:v>PASS</x:v>
      </x:c>
      <x:c r="G563" s="177" t="str">
        <x:v>份额只乘一次</x:v>
      </x:c>
      <x:c r="H563" s="184"/>
    </x:row>
    <x:row r="564">
      <x:c r="A564" s="177" t="str">
        <x:v>DYN-SPEC-Q-24</x:v>
      </x:c>
      <x:c r="B564" s="177" t="str">
        <x:v>cautious 2027 fauPrism 102.4T数量</x:v>
      </x:c>
      <x:c r="C564" s="230" t="n">
        <x:f>'规格明细'!G24</x:f>
        <x:v>230400000</x:v>
      </x:c>
      <x:c r="D564" s="230" t="n">
        <x:f>'规格明细'!D24*10000*'规格明细'!E24</x:f>
        <x:v>230400000</x:v>
      </x:c>
      <x:c r="E564" s="230" t="n">
        <x:f>C564-D564</x:f>
        <x:v>0</x:v>
      </x:c>
      <x:c r="F564" s="177" t="str">
        <x:f>IF(ABS(E564)&lt;0.000001,"PASS","FAIL")</x:f>
        <x:v>PASS</x:v>
      </x:c>
      <x:c r="G564" s="177" t="str">
        <x:v>出货量×单位用量</x:v>
      </x:c>
      <x:c r="H564" s="184"/>
    </x:row>
    <x:row r="565">
      <x:c r="A565" s="177" t="str">
        <x:v>DYN-SPEC-TAM-24</x:v>
      </x:c>
      <x:c r="B565" s="177" t="str">
        <x:v>cautious 2027 fauPrism 102.4T空间</x:v>
      </x:c>
      <x:c r="C565" s="230" t="n">
        <x:f>'规格明细'!K24</x:f>
        <x:v>20.054016</x:v>
      </x:c>
      <x:c r="D565" s="230" t="n">
        <x:f>'规格明细'!G24*'规格明细'!I24/100000000</x:f>
        <x:v>20.054016</x:v>
      </x:c>
      <x:c r="E565" s="230" t="n">
        <x:f>C565-D565</x:f>
        <x:v>0</x:v>
      </x:c>
      <x:c r="F565" s="177" t="str">
        <x:f>IF(ABS(E565)&lt;0.000001,"PASS","FAIL")</x:f>
        <x:v>PASS</x:v>
      </x:c>
      <x:c r="G565" s="177" t="str">
        <x:v>组件数量×价格</x:v>
      </x:c>
      <x:c r="H565" s="184"/>
    </x:row>
    <x:row r="566">
      <x:c r="A566" s="177" t="str">
        <x:v>DYN-SPEC-REV-24</x:v>
      </x:c>
      <x:c r="B566" s="177" t="str">
        <x:v>cautious 2027 fauPrism 102.4T理论收入</x:v>
      </x:c>
      <x:c r="C566" s="230" t="n">
        <x:f>'规格明细'!L24</x:f>
        <x:v>9.0243072</x:v>
      </x:c>
      <x:c r="D566" s="230" t="n">
        <x:f>'规格明细'!K24*'规格明细'!J24</x:f>
        <x:v>9.0243072</x:v>
      </x:c>
      <x:c r="E566" s="230" t="n">
        <x:f>C566-D566</x:f>
        <x:v>0</x:v>
      </x:c>
      <x:c r="F566" s="177" t="str">
        <x:f>IF(ABS(E566)&lt;0.000001,"PASS","FAIL")</x:f>
        <x:v>PASS</x:v>
      </x:c>
      <x:c r="G566" s="177" t="str">
        <x:v>份额只乘一次</x:v>
      </x:c>
      <x:c r="H566" s="184"/>
    </x:row>
    <x:row r="567">
      <x:c r="A567" s="177" t="str">
        <x:v>DYN-SPEC-Q-25</x:v>
      </x:c>
      <x:c r="B567" s="177" t="str">
        <x:v>cautious 2027 fauPrism 204.8T数量</x:v>
      </x:c>
      <x:c r="C567" s="230" t="n">
        <x:f>'规格明细'!G25</x:f>
        <x:v>0</x:v>
      </x:c>
      <x:c r="D567" s="230" t="n">
        <x:f>'规格明细'!D25*10000*'规格明细'!E25</x:f>
        <x:v>0</x:v>
      </x:c>
      <x:c r="E567" s="230" t="n">
        <x:f>C567-D567</x:f>
        <x:v>0</x:v>
      </x:c>
      <x:c r="F567" s="177" t="str">
        <x:f>IF(ABS(E567)&lt;0.000001,"PASS","FAIL")</x:f>
        <x:v>PASS</x:v>
      </x:c>
      <x:c r="G567" s="177" t="str">
        <x:v>出货量×单位用量</x:v>
      </x:c>
      <x:c r="H567" s="184"/>
    </x:row>
    <x:row r="568">
      <x:c r="A568" s="177" t="str">
        <x:v>DYN-SPEC-TAM-25</x:v>
      </x:c>
      <x:c r="B568" s="177" t="str">
        <x:v>cautious 2027 fauPrism 204.8T空间</x:v>
      </x:c>
      <x:c r="C568" s="230" t="n">
        <x:f>'规格明细'!K25</x:f>
        <x:v>0</x:v>
      </x:c>
      <x:c r="D568" s="230" t="n">
        <x:f>'规格明细'!G25*'规格明细'!I25/100000000</x:f>
        <x:v>0</x:v>
      </x:c>
      <x:c r="E568" s="230" t="n">
        <x:f>C568-D568</x:f>
        <x:v>0</x:v>
      </x:c>
      <x:c r="F568" s="177" t="str">
        <x:f>IF(ABS(E568)&lt;0.000001,"PASS","FAIL")</x:f>
        <x:v>PASS</x:v>
      </x:c>
      <x:c r="G568" s="177" t="str">
        <x:v>组件数量×价格</x:v>
      </x:c>
      <x:c r="H568" s="184"/>
    </x:row>
    <x:row r="569">
      <x:c r="A569" s="177" t="str">
        <x:v>DYN-SPEC-REV-25</x:v>
      </x:c>
      <x:c r="B569" s="177" t="str">
        <x:v>cautious 2027 fauPrism 204.8T理论收入</x:v>
      </x:c>
      <x:c r="C569" s="230" t="n">
        <x:f>'规格明细'!L25</x:f>
        <x:v>0</x:v>
      </x:c>
      <x:c r="D569" s="230" t="n">
        <x:f>'规格明细'!K25*'规格明细'!J25</x:f>
        <x:v>0</x:v>
      </x:c>
      <x:c r="E569" s="230" t="n">
        <x:f>C569-D569</x:f>
        <x:v>0</x:v>
      </x:c>
      <x:c r="F569" s="177" t="str">
        <x:f>IF(ABS(E569)&lt;0.000001,"PASS","FAIL")</x:f>
        <x:v>PASS</x:v>
      </x:c>
      <x:c r="G569" s="177" t="str">
        <x:v>份额只乘一次</x:v>
      </x:c>
      <x:c r="H569" s="184"/>
    </x:row>
    <x:row r="570">
      <x:c r="A570" s="177" t="str">
        <x:v>DYN-SPEC-Q-26</x:v>
      </x:c>
      <x:c r="B570" s="177" t="str">
        <x:v>cautious 2027 externalLaser 102.4T数量</x:v>
      </x:c>
      <x:c r="C570" s="230" t="n">
        <x:f>'规格明细'!G26</x:f>
        <x:v>25600000</x:v>
      </x:c>
      <x:c r="D570" s="230" t="n">
        <x:f>'规格明细'!D26*10000*'规格明细'!E26</x:f>
        <x:v>25600000</x:v>
      </x:c>
      <x:c r="E570" s="230" t="n">
        <x:f>C570-D570</x:f>
        <x:v>0</x:v>
      </x:c>
      <x:c r="F570" s="177" t="str">
        <x:f>IF(ABS(E570)&lt;0.000001,"PASS","FAIL")</x:f>
        <x:v>PASS</x:v>
      </x:c>
      <x:c r="G570" s="177" t="str">
        <x:v>出货量×单位用量</x:v>
      </x:c>
      <x:c r="H570" s="184"/>
    </x:row>
    <x:row r="571">
      <x:c r="A571" s="177" t="str">
        <x:v>DYN-SPEC-TAM-26</x:v>
      </x:c>
      <x:c r="B571" s="177" t="str">
        <x:v>cautious 2027 externalLaser 102.4T空间</x:v>
      </x:c>
      <x:c r="C571" s="230" t="n">
        <x:f>'规格明细'!K26</x:f>
        <x:v>11.141120000000003</x:v>
      </x:c>
      <x:c r="D571" s="230" t="n">
        <x:f>'规格明细'!G26*'规格明细'!I26/100000000</x:f>
        <x:v>11.141120000000003</x:v>
      </x:c>
      <x:c r="E571" s="230" t="n">
        <x:f>C571-D571</x:f>
        <x:v>0</x:v>
      </x:c>
      <x:c r="F571" s="177" t="str">
        <x:f>IF(ABS(E571)&lt;0.000001,"PASS","FAIL")</x:f>
        <x:v>PASS</x:v>
      </x:c>
      <x:c r="G571" s="177" t="str">
        <x:v>组件数量×价格</x:v>
      </x:c>
      <x:c r="H571" s="184"/>
    </x:row>
    <x:row r="572">
      <x:c r="A572" s="177" t="str">
        <x:v>DYN-SPEC-REV-26</x:v>
      </x:c>
      <x:c r="B572" s="177" t="str">
        <x:v>cautious 2027 externalLaser 102.4T理论收入</x:v>
      </x:c>
      <x:c r="C572" s="230" t="n">
        <x:f>'规格明细'!L26</x:f>
        <x:v>4.456448000000001</x:v>
      </x:c>
      <x:c r="D572" s="230" t="n">
        <x:f>'规格明细'!K26*'规格明细'!J26</x:f>
        <x:v>4.456448000000001</x:v>
      </x:c>
      <x:c r="E572" s="230" t="n">
        <x:f>C572-D572</x:f>
        <x:v>0</x:v>
      </x:c>
      <x:c r="F572" s="177" t="str">
        <x:f>IF(ABS(E572)&lt;0.000001,"PASS","FAIL")</x:f>
        <x:v>PASS</x:v>
      </x:c>
      <x:c r="G572" s="177" t="str">
        <x:v>份额只乘一次</x:v>
      </x:c>
      <x:c r="H572" s="184"/>
    </x:row>
    <x:row r="573">
      <x:c r="A573" s="177" t="str">
        <x:v>DYN-SPEC-Q-27</x:v>
      </x:c>
      <x:c r="B573" s="177" t="str">
        <x:v>cautious 2027 externalLaser 204.8T数量</x:v>
      </x:c>
      <x:c r="C573" s="230" t="n">
        <x:f>'规格明细'!G27</x:f>
        <x:v>0</x:v>
      </x:c>
      <x:c r="D573" s="230" t="n">
        <x:f>'规格明细'!D27*10000*'规格明细'!E27</x:f>
        <x:v>0</x:v>
      </x:c>
      <x:c r="E573" s="230" t="n">
        <x:f>C573-D573</x:f>
        <x:v>0</x:v>
      </x:c>
      <x:c r="F573" s="177" t="str">
        <x:f>IF(ABS(E573)&lt;0.000001,"PASS","FAIL")</x:f>
        <x:v>PASS</x:v>
      </x:c>
      <x:c r="G573" s="177" t="str">
        <x:v>出货量×单位用量</x:v>
      </x:c>
      <x:c r="H573" s="184"/>
    </x:row>
    <x:row r="574">
      <x:c r="A574" s="177" t="str">
        <x:v>DYN-SPEC-TAM-27</x:v>
      </x:c>
      <x:c r="B574" s="177" t="str">
        <x:v>cautious 2027 externalLaser 204.8T空间</x:v>
      </x:c>
      <x:c r="C574" s="230" t="n">
        <x:f>'规格明细'!K27</x:f>
        <x:v>0</x:v>
      </x:c>
      <x:c r="D574" s="230" t="n">
        <x:f>'规格明细'!G27*'规格明细'!I27/100000000</x:f>
        <x:v>0</x:v>
      </x:c>
      <x:c r="E574" s="230" t="n">
        <x:f>C574-D574</x:f>
        <x:v>0</x:v>
      </x:c>
      <x:c r="F574" s="177" t="str">
        <x:f>IF(ABS(E574)&lt;0.000001,"PASS","FAIL")</x:f>
        <x:v>PASS</x:v>
      </x:c>
      <x:c r="G574" s="177" t="str">
        <x:v>组件数量×价格</x:v>
      </x:c>
      <x:c r="H574" s="184"/>
    </x:row>
    <x:row r="575">
      <x:c r="A575" s="177" t="str">
        <x:v>DYN-SPEC-REV-27</x:v>
      </x:c>
      <x:c r="B575" s="177" t="str">
        <x:v>cautious 2027 externalLaser 204.8T理论收入</x:v>
      </x:c>
      <x:c r="C575" s="230" t="n">
        <x:f>'规格明细'!L27</x:f>
        <x:v>0</x:v>
      </x:c>
      <x:c r="D575" s="230" t="n">
        <x:f>'规格明细'!K27*'规格明细'!J27</x:f>
        <x:v>0</x:v>
      </x:c>
      <x:c r="E575" s="230" t="n">
        <x:f>C575-D575</x:f>
        <x:v>0</x:v>
      </x:c>
      <x:c r="F575" s="177" t="str">
        <x:f>IF(ABS(E575)&lt;0.000001,"PASS","FAIL")</x:f>
        <x:v>PASS</x:v>
      </x:c>
      <x:c r="G575" s="177" t="str">
        <x:v>份额只乘一次</x:v>
      </x:c>
      <x:c r="H575" s="184"/>
    </x:row>
    <x:row r="576">
      <x:c r="A576" s="177" t="str">
        <x:v>DYN-SPEC-Q-28</x:v>
      </x:c>
      <x:c r="B576" s="177" t="str">
        <x:v>cautious 2027 equipment 102.4T数量</x:v>
      </x:c>
      <x:c r="C576" s="230" t="n">
        <x:f>'规格明细'!G28</x:f>
        <x:v>6400</x:v>
      </x:c>
      <x:c r="D576" s="230" t="n">
        <x:f>'规格明细'!D28*10000*'规格明细'!E28</x:f>
        <x:v>6400</x:v>
      </x:c>
      <x:c r="E576" s="230" t="n">
        <x:f>C576-D576</x:f>
        <x:v>0</x:v>
      </x:c>
      <x:c r="F576" s="177" t="str">
        <x:f>IF(ABS(E576)&lt;0.000001,"PASS","FAIL")</x:f>
        <x:v>PASS</x:v>
      </x:c>
      <x:c r="G576" s="177" t="str">
        <x:v>出货量×单位用量</x:v>
      </x:c>
      <x:c r="H576" s="184"/>
    </x:row>
    <x:row r="577">
      <x:c r="A577" s="177" t="str">
        <x:v>DYN-SPEC-TAM-28</x:v>
      </x:c>
      <x:c r="B577" s="177" t="str">
        <x:v>cautious 2027 equipment 102.4T空间</x:v>
      </x:c>
      <x:c r="C577" s="230" t="n">
        <x:f>'规格明细'!K28</x:f>
        <x:v>3.4816</x:v>
      </x:c>
      <x:c r="D577" s="230" t="n">
        <x:f>'规格明细'!G28*'规格明细'!I28/100000000</x:f>
        <x:v>3.4816</x:v>
      </x:c>
      <x:c r="E577" s="230" t="n">
        <x:f>C577-D577</x:f>
        <x:v>0</x:v>
      </x:c>
      <x:c r="F577" s="177" t="str">
        <x:f>IF(ABS(E577)&lt;0.000001,"PASS","FAIL")</x:f>
        <x:v>PASS</x:v>
      </x:c>
      <x:c r="G577" s="177" t="str">
        <x:v>组件数量×价格</x:v>
      </x:c>
      <x:c r="H577" s="184"/>
    </x:row>
    <x:row r="578">
      <x:c r="A578" s="177" t="str">
        <x:v>DYN-SPEC-REV-28</x:v>
      </x:c>
      <x:c r="B578" s="177" t="str">
        <x:v>cautious 2027 equipment 102.4T理论收入</x:v>
      </x:c>
      <x:c r="C578" s="230" t="n">
        <x:f>'规格明细'!L28</x:f>
        <x:v>0.9284266666666666</x:v>
      </x:c>
      <x:c r="D578" s="230" t="n">
        <x:f>'规格明细'!K28*'规格明细'!J28</x:f>
        <x:v>0.9284266666666666</x:v>
      </x:c>
      <x:c r="E578" s="230" t="n">
        <x:f>C578-D578</x:f>
        <x:v>0</x:v>
      </x:c>
      <x:c r="F578" s="177" t="str">
        <x:f>IF(ABS(E578)&lt;0.000001,"PASS","FAIL")</x:f>
        <x:v>PASS</x:v>
      </x:c>
      <x:c r="G578" s="177" t="str">
        <x:v>份额只乘一次</x:v>
      </x:c>
      <x:c r="H578" s="184"/>
    </x:row>
    <x:row r="579">
      <x:c r="A579" s="177" t="str">
        <x:v>DYN-SPEC-Q-29</x:v>
      </x:c>
      <x:c r="B579" s="177" t="str">
        <x:v>cautious 2027 equipment 204.8T数量</x:v>
      </x:c>
      <x:c r="C579" s="230" t="n">
        <x:f>'规格明细'!G29</x:f>
        <x:v>0</x:v>
      </x:c>
      <x:c r="D579" s="230" t="n">
        <x:f>'规格明细'!D29*10000*'规格明细'!E29</x:f>
        <x:v>0</x:v>
      </x:c>
      <x:c r="E579" s="230" t="n">
        <x:f>C579-D579</x:f>
        <x:v>0</x:v>
      </x:c>
      <x:c r="F579" s="177" t="str">
        <x:f>IF(ABS(E579)&lt;0.000001,"PASS","FAIL")</x:f>
        <x:v>PASS</x:v>
      </x:c>
      <x:c r="G579" s="177" t="str">
        <x:v>出货量×单位用量</x:v>
      </x:c>
      <x:c r="H579" s="184"/>
    </x:row>
    <x:row r="580">
      <x:c r="A580" s="177" t="str">
        <x:v>DYN-SPEC-TAM-29</x:v>
      </x:c>
      <x:c r="B580" s="177" t="str">
        <x:v>cautious 2027 equipment 204.8T空间</x:v>
      </x:c>
      <x:c r="C580" s="230" t="n">
        <x:f>'规格明细'!K29</x:f>
        <x:v>0</x:v>
      </x:c>
      <x:c r="D580" s="230" t="n">
        <x:f>'规格明细'!G29*'规格明细'!I29/100000000</x:f>
        <x:v>0</x:v>
      </x:c>
      <x:c r="E580" s="230" t="n">
        <x:f>C580-D580</x:f>
        <x:v>0</x:v>
      </x:c>
      <x:c r="F580" s="177" t="str">
        <x:f>IF(ABS(E580)&lt;0.000001,"PASS","FAIL")</x:f>
        <x:v>PASS</x:v>
      </x:c>
      <x:c r="G580" s="177" t="str">
        <x:v>组件数量×价格</x:v>
      </x:c>
      <x:c r="H580" s="184"/>
    </x:row>
    <x:row r="581">
      <x:c r="A581" s="177" t="str">
        <x:v>DYN-SPEC-REV-29</x:v>
      </x:c>
      <x:c r="B581" s="177" t="str">
        <x:v>cautious 2027 equipment 204.8T理论收入</x:v>
      </x:c>
      <x:c r="C581" s="230" t="n">
        <x:f>'规格明细'!L29</x:f>
        <x:v>0</x:v>
      </x:c>
      <x:c r="D581" s="230" t="n">
        <x:f>'规格明细'!K29*'规格明细'!J29</x:f>
        <x:v>0</x:v>
      </x:c>
      <x:c r="E581" s="230" t="n">
        <x:f>C581-D581</x:f>
        <x:v>0</x:v>
      </x:c>
      <x:c r="F581" s="177" t="str">
        <x:f>IF(ABS(E581)&lt;0.000001,"PASS","FAIL")</x:f>
        <x:v>PASS</x:v>
      </x:c>
      <x:c r="G581" s="177" t="str">
        <x:v>份额只乘一次</x:v>
      </x:c>
      <x:c r="H581" s="184"/>
    </x:row>
    <x:row r="582">
      <x:c r="A582" s="177" t="str">
        <x:v>DYN-SPEC-Q-30</x:v>
      </x:c>
      <x:c r="B582" s="177" t="str">
        <x:v>cautious 2028 pluggable-800g 800G数量</x:v>
      </x:c>
      <x:c r="C582" s="230" t="n">
        <x:f>'规格明细'!G30</x:f>
        <x:v>500000000</x:v>
      </x:c>
      <x:c r="D582" s="230" t="n">
        <x:f>'规格明细'!D30*10000*'规格明细'!E30</x:f>
        <x:v>500000000</x:v>
      </x:c>
      <x:c r="E582" s="230" t="n">
        <x:f>C582-D582</x:f>
        <x:v>0</x:v>
      </x:c>
      <x:c r="F582" s="177" t="str">
        <x:f>IF(ABS(E582)&lt;0.000001,"PASS","FAIL")</x:f>
        <x:v>PASS</x:v>
      </x:c>
      <x:c r="G582" s="177" t="str">
        <x:v>出货量×单位用量</x:v>
      </x:c>
      <x:c r="H582" s="184"/>
    </x:row>
    <x:row r="583">
      <x:c r="A583" s="177" t="str">
        <x:v>DYN-SPEC-TAM-30</x:v>
      </x:c>
      <x:c r="B583" s="177" t="str">
        <x:v>cautious 2028 pluggable-800g 800G空间</x:v>
      </x:c>
      <x:c r="C583" s="230" t="n">
        <x:f>'规格明细'!K30</x:f>
        <x:v>13.77</x:v>
      </x:c>
      <x:c r="D583" s="230" t="n">
        <x:f>'规格明细'!G30*'规格明细'!I30/100000000</x:f>
        <x:v>13.77</x:v>
      </x:c>
      <x:c r="E583" s="230" t="n">
        <x:f>C583-D583</x:f>
        <x:v>0</x:v>
      </x:c>
      <x:c r="F583" s="177" t="str">
        <x:f>IF(ABS(E583)&lt;0.000001,"PASS","FAIL")</x:f>
        <x:v>PASS</x:v>
      </x:c>
      <x:c r="G583" s="177" t="str">
        <x:v>组件数量×价格</x:v>
      </x:c>
      <x:c r="H583" s="184"/>
    </x:row>
    <x:row r="584">
      <x:c r="A584" s="177" t="str">
        <x:v>DYN-SPEC-REV-30</x:v>
      </x:c>
      <x:c r="B584" s="177" t="str">
        <x:v>cautious 2028 pluggable-800g 800G理论收入</x:v>
      </x:c>
      <x:c r="C584" s="230" t="n">
        <x:f>'规格明细'!L30</x:f>
        <x:v>1.17045</x:v>
      </x:c>
      <x:c r="D584" s="230" t="n">
        <x:f>'规格明细'!K30*'规格明细'!J30</x:f>
        <x:v>1.17045</x:v>
      </x:c>
      <x:c r="E584" s="230" t="n">
        <x:f>C584-D584</x:f>
        <x:v>0</x:v>
      </x:c>
      <x:c r="F584" s="177" t="str">
        <x:f>IF(ABS(E584)&lt;0.000001,"PASS","FAIL")</x:f>
        <x:v>PASS</x:v>
      </x:c>
      <x:c r="G584" s="177" t="str">
        <x:v>份额只乘一次</x:v>
      </x:c>
      <x:c r="H584" s="184"/>
    </x:row>
    <x:row r="585">
      <x:c r="A585" s="177" t="str">
        <x:v>DYN-SPEC-Q-31</x:v>
      </x:c>
      <x:c r="B585" s="177" t="str">
        <x:v>cautious 2028 pluggable-1p6t 1.6T数量</x:v>
      </x:c>
      <x:c r="C585" s="230" t="n">
        <x:f>'规格明细'!G31</x:f>
        <x:v>1050000000</x:v>
      </x:c>
      <x:c r="D585" s="230" t="n">
        <x:f>'规格明细'!D31*10000*'规格明细'!E31</x:f>
        <x:v>1050000000</x:v>
      </x:c>
      <x:c r="E585" s="230" t="n">
        <x:f>C585-D585</x:f>
        <x:v>0</x:v>
      </x:c>
      <x:c r="F585" s="177" t="str">
        <x:f>IF(ABS(E585)&lt;0.000001,"PASS","FAIL")</x:f>
        <x:v>PASS</x:v>
      </x:c>
      <x:c r="G585" s="177" t="str">
        <x:v>出货量×单位用量</x:v>
      </x:c>
      <x:c r="H585" s="184"/>
    </x:row>
    <x:row r="586">
      <x:c r="A586" s="177" t="str">
        <x:v>DYN-SPEC-TAM-31</x:v>
      </x:c>
      <x:c r="B586" s="177" t="str">
        <x:v>cautious 2028 pluggable-1p6t 1.6T空间</x:v>
      </x:c>
      <x:c r="C586" s="230" t="n">
        <x:f>'规格明细'!K31</x:f>
        <x:v>40.4838</x:v>
      </x:c>
      <x:c r="D586" s="230" t="n">
        <x:f>'规格明细'!G31*'规格明细'!I31/100000000</x:f>
        <x:v>40.4838</x:v>
      </x:c>
      <x:c r="E586" s="230" t="n">
        <x:f>C586-D586</x:f>
        <x:v>0</x:v>
      </x:c>
      <x:c r="F586" s="177" t="str">
        <x:f>IF(ABS(E586)&lt;0.000001,"PASS","FAIL")</x:f>
        <x:v>PASS</x:v>
      </x:c>
      <x:c r="G586" s="177" t="str">
        <x:v>组件数量×价格</x:v>
      </x:c>
      <x:c r="H586" s="184"/>
    </x:row>
    <x:row r="587">
      <x:c r="A587" s="177" t="str">
        <x:v>DYN-SPEC-REV-31</x:v>
      </x:c>
      <x:c r="B587" s="177" t="str">
        <x:v>cautious 2028 pluggable-1p6t 1.6T理论收入</x:v>
      </x:c>
      <x:c r="C587" s="230" t="n">
        <x:f>'规格明细'!L31</x:f>
        <x:v>3.4411230000000006</x:v>
      </x:c>
      <x:c r="D587" s="230" t="n">
        <x:f>'规格明细'!K31*'规格明细'!J31</x:f>
        <x:v>3.4411230000000006</x:v>
      </x:c>
      <x:c r="E587" s="230" t="n">
        <x:f>C587-D587</x:f>
        <x:v>0</x:v>
      </x:c>
      <x:c r="F587" s="177" t="str">
        <x:f>IF(ABS(E587)&lt;0.000001,"PASS","FAIL")</x:f>
        <x:v>PASS</x:v>
      </x:c>
      <x:c r="G587" s="177" t="str">
        <x:v>份额只乘一次</x:v>
      </x:c>
      <x:c r="H587" s="184"/>
    </x:row>
    <x:row r="588">
      <x:c r="A588" s="177" t="str">
        <x:v>DYN-SPEC-Q-32</x:v>
      </x:c>
      <x:c r="B588" s="177" t="str">
        <x:v>cautious 2028 ocs 小端口参考系统数量</x:v>
      </x:c>
      <x:c r="C588" s="230" t="n">
        <x:f>'规格明细'!G32</x:f>
        <x:v>23040000</x:v>
      </x:c>
      <x:c r="D588" s="230" t="n">
        <x:f>'规格明细'!D32*10000*'规格明细'!E32</x:f>
        <x:v>23040000</x:v>
      </x:c>
      <x:c r="E588" s="230" t="n">
        <x:f>C588-D588</x:f>
        <x:v>0</x:v>
      </x:c>
      <x:c r="F588" s="177" t="str">
        <x:f>IF(ABS(E588)&lt;0.000001,"PASS","FAIL")</x:f>
        <x:v>PASS</x:v>
      </x:c>
      <x:c r="G588" s="177" t="str">
        <x:v>出货量×单位用量</x:v>
      </x:c>
      <x:c r="H588" s="184"/>
    </x:row>
    <x:row r="589">
      <x:c r="A589" s="177" t="str">
        <x:v>DYN-SPEC-TAM-32</x:v>
      </x:c>
      <x:c r="B589" s="177" t="str">
        <x:v>cautious 2028 ocs 小端口参考系统空间</x:v>
      </x:c>
      <x:c r="C589" s="230" t="n">
        <x:f>'规格明细'!K32</x:f>
        <x:v>2.48832</x:v>
      </x:c>
      <x:c r="D589" s="230" t="n">
        <x:f>'规格明细'!G32*'规格明细'!I32/100000000</x:f>
        <x:v>2.48832</x:v>
      </x:c>
      <x:c r="E589" s="230" t="n">
        <x:f>C589-D589</x:f>
        <x:v>0</x:v>
      </x:c>
      <x:c r="F589" s="177" t="str">
        <x:f>IF(ABS(E589)&lt;0.000001,"PASS","FAIL")</x:f>
        <x:v>PASS</x:v>
      </x:c>
      <x:c r="G589" s="177" t="str">
        <x:v>组件数量×价格</x:v>
      </x:c>
      <x:c r="H589" s="184"/>
    </x:row>
    <x:row r="590">
      <x:c r="A590" s="177" t="str">
        <x:v>DYN-SPEC-REV-32</x:v>
      </x:c>
      <x:c r="B590" s="177" t="str">
        <x:v>cautious 2028 ocs 小端口参考系统理论收入</x:v>
      </x:c>
      <x:c r="C590" s="230" t="n">
        <x:f>'规格明细'!L32</x:f>
        <x:v>1.6920576</x:v>
      </x:c>
      <x:c r="D590" s="230" t="n">
        <x:f>'规格明细'!K32*'规格明细'!J32</x:f>
        <x:v>1.6920576</x:v>
      </x:c>
      <x:c r="E590" s="230" t="n">
        <x:f>C590-D590</x:f>
        <x:v>0</x:v>
      </x:c>
      <x:c r="F590" s="177" t="str">
        <x:f>IF(ABS(E590)&lt;0.000001,"PASS","FAIL")</x:f>
        <x:v>PASS</x:v>
      </x:c>
      <x:c r="G590" s="177" t="str">
        <x:v>份额只乘一次</x:v>
      </x:c>
      <x:c r="H590" s="184"/>
    </x:row>
    <x:row r="591">
      <x:c r="A591" s="177" t="str">
        <x:v>DYN-SPEC-Q-33</x:v>
      </x:c>
      <x:c r="B591" s="177" t="str">
        <x:v>cautious 2028 ocs 大端口320×320数量</x:v>
      </x:c>
      <x:c r="C591" s="230" t="n">
        <x:f>'规格明细'!G33</x:f>
        <x:v>70400000</x:v>
      </x:c>
      <x:c r="D591" s="230" t="n">
        <x:f>'规格明细'!D33*10000*'规格明细'!E33</x:f>
        <x:v>70400000</x:v>
      </x:c>
      <x:c r="E591" s="230" t="n">
        <x:f>C591-D591</x:f>
        <x:v>0</x:v>
      </x:c>
      <x:c r="F591" s="177" t="str">
        <x:f>IF(ABS(E591)&lt;0.000001,"PASS","FAIL")</x:f>
        <x:v>PASS</x:v>
      </x:c>
      <x:c r="G591" s="177" t="str">
        <x:v>出货量×单位用量</x:v>
      </x:c>
      <x:c r="H591" s="184"/>
    </x:row>
    <x:row r="592">
      <x:c r="A592" s="177" t="str">
        <x:v>DYN-SPEC-TAM-33</x:v>
      </x:c>
      <x:c r="B592" s="177" t="str">
        <x:v>cautious 2028 ocs 大端口320×320空间</x:v>
      </x:c>
      <x:c r="C592" s="230" t="n">
        <x:f>'规格明细'!K33</x:f>
        <x:v>15.206399999999997</x:v>
      </x:c>
      <x:c r="D592" s="230" t="n">
        <x:f>'规格明细'!G33*'规格明细'!I33/100000000</x:f>
        <x:v>15.206399999999997</x:v>
      </x:c>
      <x:c r="E592" s="230" t="n">
        <x:f>C592-D592</x:f>
        <x:v>0</x:v>
      </x:c>
      <x:c r="F592" s="177" t="str">
        <x:f>IF(ABS(E592)&lt;0.000001,"PASS","FAIL")</x:f>
        <x:v>PASS</x:v>
      </x:c>
      <x:c r="G592" s="177" t="str">
        <x:v>组件数量×价格</x:v>
      </x:c>
      <x:c r="H592" s="184"/>
    </x:row>
    <x:row r="593">
      <x:c r="A593" s="177" t="str">
        <x:v>DYN-SPEC-REV-33</x:v>
      </x:c>
      <x:c r="B593" s="177" t="str">
        <x:v>cautious 2028 ocs 大端口320×320理论收入</x:v>
      </x:c>
      <x:c r="C593" s="230" t="n">
        <x:f>'规格明细'!L33</x:f>
        <x:v>10.986623999999997</x:v>
      </x:c>
      <x:c r="D593" s="230" t="n">
        <x:f>'规格明细'!K33*'规格明细'!J33</x:f>
        <x:v>10.986623999999997</x:v>
      </x:c>
      <x:c r="E593" s="230" t="n">
        <x:f>C593-D593</x:f>
        <x:v>0</x:v>
      </x:c>
      <x:c r="F593" s="177" t="str">
        <x:f>IF(ABS(E593)&lt;0.000001,"PASS","FAIL")</x:f>
        <x:v>PASS</x:v>
      </x:c>
      <x:c r="G593" s="177" t="str">
        <x:v>份额只乘一次</x:v>
      </x:c>
      <x:c r="H593" s="184"/>
    </x:row>
    <x:row r="594">
      <x:c r="A594" s="177" t="str">
        <x:v>DYN-SPEC-Q-34</x:v>
      </x:c>
      <x:c r="B594" s="177" t="str">
        <x:v>cautious 2028 vGroove 102.4T数量</x:v>
      </x:c>
      <x:c r="C594" s="230" t="n">
        <x:f>'规格明细'!G34</x:f>
        <x:v>345600000</x:v>
      </x:c>
      <x:c r="D594" s="230" t="n">
        <x:f>'规格明细'!D34*10000*'规格明细'!E34</x:f>
        <x:v>345600000</x:v>
      </x:c>
      <x:c r="E594" s="230" t="n">
        <x:f>C594-D594</x:f>
        <x:v>0</x:v>
      </x:c>
      <x:c r="F594" s="177" t="str">
        <x:f>IF(ABS(E594)&lt;0.000001,"PASS","FAIL")</x:f>
        <x:v>PASS</x:v>
      </x:c>
      <x:c r="G594" s="177" t="str">
        <x:v>出货量×单位用量</x:v>
      </x:c>
      <x:c r="H594" s="184"/>
    </x:row>
    <x:row r="595">
      <x:c r="A595" s="177" t="str">
        <x:v>DYN-SPEC-TAM-34</x:v>
      </x:c>
      <x:c r="B595" s="177" t="str">
        <x:v>cautious 2028 vGroove 102.4T空间</x:v>
      </x:c>
      <x:c r="C595" s="230" t="n">
        <x:f>'规格明细'!K34</x:f>
        <x:v>18.951045119999996</x:v>
      </x:c>
      <x:c r="D595" s="230" t="n">
        <x:f>'规格明细'!G34*'规格明细'!I34/100000000</x:f>
        <x:v>18.951045119999996</x:v>
      </x:c>
      <x:c r="E595" s="230" t="n">
        <x:f>C595-D595</x:f>
        <x:v>0</x:v>
      </x:c>
      <x:c r="F595" s="177" t="str">
        <x:f>IF(ABS(E595)&lt;0.000001,"PASS","FAIL")</x:f>
        <x:v>PASS</x:v>
      </x:c>
      <x:c r="G595" s="177" t="str">
        <x:v>组件数量×价格</x:v>
      </x:c>
      <x:c r="H595" s="184"/>
    </x:row>
    <x:row r="596">
      <x:c r="A596" s="177" t="str">
        <x:v>DYN-SPEC-REV-34</x:v>
      </x:c>
      <x:c r="B596" s="177" t="str">
        <x:v>cautious 2028 vGroove 102.4T理论收入</x:v>
      </x:c>
      <x:c r="C596" s="230" t="n">
        <x:f>'规格明细'!L34</x:f>
        <x:v>8.859613593599999</x:v>
      </x:c>
      <x:c r="D596" s="230" t="n">
        <x:f>'规格明细'!K34*'规格明细'!J34</x:f>
        <x:v>8.859613593599999</x:v>
      </x:c>
      <x:c r="E596" s="230" t="n">
        <x:f>C596-D596</x:f>
        <x:v>0</x:v>
      </x:c>
      <x:c r="F596" s="177" t="str">
        <x:f>IF(ABS(E596)&lt;0.000001,"PASS","FAIL")</x:f>
        <x:v>PASS</x:v>
      </x:c>
      <x:c r="G596" s="177" t="str">
        <x:v>份额只乘一次</x:v>
      </x:c>
      <x:c r="H596" s="184"/>
    </x:row>
    <x:row r="597">
      <x:c r="A597" s="177" t="str">
        <x:v>DYN-SPEC-Q-35</x:v>
      </x:c>
      <x:c r="B597" s="177" t="str">
        <x:v>cautious 2028 vGroove 204.8T数量</x:v>
      </x:c>
      <x:c r="C597" s="230" t="n">
        <x:f>'规格明细'!G35</x:f>
        <x:v>460800000</x:v>
      </x:c>
      <x:c r="D597" s="230" t="n">
        <x:f>'规格明细'!D35*10000*'规格明细'!E35</x:f>
        <x:v>460800000</x:v>
      </x:c>
      <x:c r="E597" s="230" t="n">
        <x:f>C597-D597</x:f>
        <x:v>0</x:v>
      </x:c>
      <x:c r="F597" s="177" t="str">
        <x:f>IF(ABS(E597)&lt;0.000001,"PASS","FAIL")</x:f>
        <x:v>PASS</x:v>
      </x:c>
      <x:c r="G597" s="177" t="str">
        <x:v>出货量×单位用量</x:v>
      </x:c>
      <x:c r="H597" s="184"/>
    </x:row>
    <x:row r="598">
      <x:c r="A598" s="177" t="str">
        <x:v>DYN-SPEC-TAM-35</x:v>
      </x:c>
      <x:c r="B598" s="177" t="str">
        <x:v>cautious 2028 vGroove 204.8T空间</x:v>
      </x:c>
      <x:c r="C598" s="230" t="n">
        <x:f>'规格明细'!K35</x:f>
        <x:v>31.585075199999995</x:v>
      </x:c>
      <x:c r="D598" s="230" t="n">
        <x:f>'规格明细'!G35*'规格明细'!I35/100000000</x:f>
        <x:v>31.585075199999995</x:v>
      </x:c>
      <x:c r="E598" s="230" t="n">
        <x:f>C598-D598</x:f>
        <x:v>0</x:v>
      </x:c>
      <x:c r="F598" s="177" t="str">
        <x:f>IF(ABS(E598)&lt;0.000001,"PASS","FAIL")</x:f>
        <x:v>PASS</x:v>
      </x:c>
      <x:c r="G598" s="177" t="str">
        <x:v>组件数量×价格</x:v>
      </x:c>
      <x:c r="H598" s="184"/>
    </x:row>
    <x:row r="599">
      <x:c r="A599" s="177" t="str">
        <x:v>DYN-SPEC-REV-35</x:v>
      </x:c>
      <x:c r="B599" s="177" t="str">
        <x:v>cautious 2028 vGroove 204.8T理论收入</x:v>
      </x:c>
      <x:c r="C599" s="230" t="n">
        <x:f>'规格明细'!L35</x:f>
        <x:v>16.108388352</x:v>
      </x:c>
      <x:c r="D599" s="230" t="n">
        <x:f>'规格明细'!K35*'规格明细'!J35</x:f>
        <x:v>16.108388352</x:v>
      </x:c>
      <x:c r="E599" s="230" t="n">
        <x:f>C599-D599</x:f>
        <x:v>0</x:v>
      </x:c>
      <x:c r="F599" s="177" t="str">
        <x:f>IF(ABS(E599)&lt;0.000001,"PASS","FAIL")</x:f>
        <x:v>PASS</x:v>
      </x:c>
      <x:c r="G599" s="177" t="str">
        <x:v>份额只乘一次</x:v>
      </x:c>
      <x:c r="H599" s="184"/>
    </x:row>
    <x:row r="600">
      <x:c r="A600" s="177" t="str">
        <x:v>DYN-SPEC-Q-36</x:v>
      </x:c>
      <x:c r="B600" s="177" t="str">
        <x:v>cautious 2028 fauPrism 102.4T数量</x:v>
      </x:c>
      <x:c r="C600" s="230" t="n">
        <x:f>'规格明细'!G36</x:f>
        <x:v>345600000</x:v>
      </x:c>
      <x:c r="D600" s="230" t="n">
        <x:f>'规格明细'!D36*10000*'规格明细'!E36</x:f>
        <x:v>345600000</x:v>
      </x:c>
      <x:c r="E600" s="230" t="n">
        <x:f>C600-D600</x:f>
        <x:v>0</x:v>
      </x:c>
      <x:c r="F600" s="177" t="str">
        <x:f>IF(ABS(E600)&lt;0.000001,"PASS","FAIL")</x:f>
        <x:v>PASS</x:v>
      </x:c>
      <x:c r="G600" s="177" t="str">
        <x:v>出货量×单位用量</x:v>
      </x:c>
      <x:c r="H600" s="184"/>
    </x:row>
    <x:row r="601">
      <x:c r="A601" s="177" t="str">
        <x:v>DYN-SPEC-TAM-36</x:v>
      </x:c>
      <x:c r="B601" s="177" t="str">
        <x:v>cautious 2028 fauPrism 102.4T空间</x:v>
      </x:c>
      <x:c r="C601" s="230" t="n">
        <x:f>'规格明细'!K36</x:f>
        <x:v>27.0729216</x:v>
      </x:c>
      <x:c r="D601" s="230" t="n">
        <x:f>'规格明细'!G36*'规格明细'!I36/100000000</x:f>
        <x:v>27.0729216</x:v>
      </x:c>
      <x:c r="E601" s="230" t="n">
        <x:f>C601-D601</x:f>
        <x:v>0</x:v>
      </x:c>
      <x:c r="F601" s="177" t="str">
        <x:f>IF(ABS(E601)&lt;0.000001,"PASS","FAIL")</x:f>
        <x:v>PASS</x:v>
      </x:c>
      <x:c r="G601" s="177" t="str">
        <x:v>组件数量×价格</x:v>
      </x:c>
      <x:c r="H601" s="184"/>
    </x:row>
    <x:row r="602">
      <x:c r="A602" s="177" t="str">
        <x:v>DYN-SPEC-REV-36</x:v>
      </x:c>
      <x:c r="B602" s="177" t="str">
        <x:v>cautious 2028 fauPrism 102.4T理论收入</x:v>
      </x:c>
      <x:c r="C602" s="230" t="n">
        <x:f>'规格明细'!L36</x:f>
        <x:v>12.182814720000001</x:v>
      </x:c>
      <x:c r="D602" s="230" t="n">
        <x:f>'规格明细'!K36*'规格明细'!J36</x:f>
        <x:v>12.182814720000001</x:v>
      </x:c>
      <x:c r="E602" s="230" t="n">
        <x:f>C602-D602</x:f>
        <x:v>0</x:v>
      </x:c>
      <x:c r="F602" s="177" t="str">
        <x:f>IF(ABS(E602)&lt;0.000001,"PASS","FAIL")</x:f>
        <x:v>PASS</x:v>
      </x:c>
      <x:c r="G602" s="177" t="str">
        <x:v>份额只乘一次</x:v>
      </x:c>
      <x:c r="H602" s="184"/>
    </x:row>
    <x:row r="603">
      <x:c r="A603" s="177" t="str">
        <x:v>DYN-SPEC-Q-37</x:v>
      </x:c>
      <x:c r="B603" s="177" t="str">
        <x:v>cautious 2028 fauPrism 204.8T数量</x:v>
      </x:c>
      <x:c r="C603" s="230" t="n">
        <x:f>'规格明细'!G37</x:f>
        <x:v>460800000</x:v>
      </x:c>
      <x:c r="D603" s="230" t="n">
        <x:f>'规格明细'!D37*10000*'规格明细'!E37</x:f>
        <x:v>460800000</x:v>
      </x:c>
      <x:c r="E603" s="230" t="n">
        <x:f>C603-D603</x:f>
        <x:v>0</x:v>
      </x:c>
      <x:c r="F603" s="177" t="str">
        <x:f>IF(ABS(E603)&lt;0.000001,"PASS","FAIL")</x:f>
        <x:v>PASS</x:v>
      </x:c>
      <x:c r="G603" s="177" t="str">
        <x:v>出货量×单位用量</x:v>
      </x:c>
      <x:c r="H603" s="184"/>
    </x:row>
    <x:row r="604">
      <x:c r="A604" s="177" t="str">
        <x:v>DYN-SPEC-TAM-37</x:v>
      </x:c>
      <x:c r="B604" s="177" t="str">
        <x:v>cautious 2028 fauPrism 204.8T空间</x:v>
      </x:c>
      <x:c r="C604" s="230" t="n">
        <x:f>'规格明细'!K37</x:f>
        <x:v>45.121536</x:v>
      </x:c>
      <x:c r="D604" s="230" t="n">
        <x:f>'规格明细'!G37*'规格明细'!I37/100000000</x:f>
        <x:v>45.121536</x:v>
      </x:c>
      <x:c r="E604" s="230" t="n">
        <x:f>C604-D604</x:f>
        <x:v>0</x:v>
      </x:c>
      <x:c r="F604" s="177" t="str">
        <x:f>IF(ABS(E604)&lt;0.000001,"PASS","FAIL")</x:f>
        <x:v>PASS</x:v>
      </x:c>
      <x:c r="G604" s="177" t="str">
        <x:v>组件数量×价格</x:v>
      </x:c>
      <x:c r="H604" s="184"/>
    </x:row>
    <x:row r="605">
      <x:c r="A605" s="177" t="str">
        <x:v>DYN-SPEC-REV-37</x:v>
      </x:c>
      <x:c r="B605" s="177" t="str">
        <x:v>cautious 2028 fauPrism 204.8T理论收入</x:v>
      </x:c>
      <x:c r="C605" s="230" t="n">
        <x:f>'规格明细'!L37</x:f>
        <x:v>20.3046912</x:v>
      </x:c>
      <x:c r="D605" s="230" t="n">
        <x:f>'规格明细'!K37*'规格明细'!J37</x:f>
        <x:v>20.3046912</x:v>
      </x:c>
      <x:c r="E605" s="230" t="n">
        <x:f>C605-D605</x:f>
        <x:v>0</x:v>
      </x:c>
      <x:c r="F605" s="177" t="str">
        <x:f>IF(ABS(E605)&lt;0.000001,"PASS","FAIL")</x:f>
        <x:v>PASS</x:v>
      </x:c>
      <x:c r="G605" s="177" t="str">
        <x:v>份额只乘一次</x:v>
      </x:c>
      <x:c r="H605" s="184"/>
    </x:row>
    <x:row r="606">
      <x:c r="A606" s="177" t="str">
        <x:v>DYN-SPEC-Q-38</x:v>
      </x:c>
      <x:c r="B606" s="177" t="str">
        <x:v>cautious 2028 externalLaser 102.4T数量</x:v>
      </x:c>
      <x:c r="C606" s="230" t="n">
        <x:f>'规格明细'!G38</x:f>
        <x:v>38400000</x:v>
      </x:c>
      <x:c r="D606" s="230" t="n">
        <x:f>'规格明细'!D38*10000*'规格明细'!E38</x:f>
        <x:v>38400000</x:v>
      </x:c>
      <x:c r="E606" s="230" t="n">
        <x:f>C606-D606</x:f>
        <x:v>0</x:v>
      </x:c>
      <x:c r="F606" s="177" t="str">
        <x:f>IF(ABS(E606)&lt;0.000001,"PASS","FAIL")</x:f>
        <x:v>PASS</x:v>
      </x:c>
      <x:c r="G606" s="177" t="str">
        <x:v>出货量×单位用量</x:v>
      </x:c>
      <x:c r="H606" s="184"/>
    </x:row>
    <x:row r="607">
      <x:c r="A607" s="177" t="str">
        <x:v>DYN-SPEC-TAM-38</x:v>
      </x:c>
      <x:c r="B607" s="177" t="str">
        <x:v>cautious 2028 externalLaser 102.4T空间</x:v>
      </x:c>
      <x:c r="C607" s="230" t="n">
        <x:f>'规格明细'!K38</x:f>
        <x:v>15.040512</x:v>
      </x:c>
      <x:c r="D607" s="230" t="n">
        <x:f>'规格明细'!G38*'规格明细'!I38/100000000</x:f>
        <x:v>15.040512</x:v>
      </x:c>
      <x:c r="E607" s="230" t="n">
        <x:f>C607-D607</x:f>
        <x:v>0</x:v>
      </x:c>
      <x:c r="F607" s="177" t="str">
        <x:f>IF(ABS(E607)&lt;0.000001,"PASS","FAIL")</x:f>
        <x:v>PASS</x:v>
      </x:c>
      <x:c r="G607" s="177" t="str">
        <x:v>组件数量×价格</x:v>
      </x:c>
      <x:c r="H607" s="184"/>
    </x:row>
    <x:row r="608">
      <x:c r="A608" s="177" t="str">
        <x:v>DYN-SPEC-REV-38</x:v>
      </x:c>
      <x:c r="B608" s="177" t="str">
        <x:v>cautious 2028 externalLaser 102.4T理论收入</x:v>
      </x:c>
      <x:c r="C608" s="230" t="n">
        <x:f>'规格明细'!L38</x:f>
        <x:v>5.53992192</x:v>
      </x:c>
      <x:c r="D608" s="230" t="n">
        <x:f>'规格明细'!K38*'规格明细'!J38</x:f>
        <x:v>5.53992192</x:v>
      </x:c>
      <x:c r="E608" s="230" t="n">
        <x:f>C608-D608</x:f>
        <x:v>0</x:v>
      </x:c>
      <x:c r="F608" s="177" t="str">
        <x:f>IF(ABS(E608)&lt;0.000001,"PASS","FAIL")</x:f>
        <x:v>PASS</x:v>
      </x:c>
      <x:c r="G608" s="177" t="str">
        <x:v>份额只乘一次</x:v>
      </x:c>
      <x:c r="H608" s="184"/>
    </x:row>
    <x:row r="609">
      <x:c r="A609" s="177" t="str">
        <x:v>DYN-SPEC-Q-39</x:v>
      </x:c>
      <x:c r="B609" s="177" t="str">
        <x:v>cautious 2028 externalLaser 204.8T数量</x:v>
      </x:c>
      <x:c r="C609" s="230" t="n">
        <x:f>'规格明细'!G39</x:f>
        <x:v>25600000</x:v>
      </x:c>
      <x:c r="D609" s="230" t="n">
        <x:f>'规格明细'!D39*10000*'规格明细'!E39</x:f>
        <x:v>25600000</x:v>
      </x:c>
      <x:c r="E609" s="230" t="n">
        <x:f>C609-D609</x:f>
        <x:v>0</x:v>
      </x:c>
      <x:c r="F609" s="177" t="str">
        <x:f>IF(ABS(E609)&lt;0.000001,"PASS","FAIL")</x:f>
        <x:v>PASS</x:v>
      </x:c>
      <x:c r="G609" s="177" t="str">
        <x:v>出货量×单位用量</x:v>
      </x:c>
      <x:c r="H609" s="184"/>
    </x:row>
    <x:row r="610">
      <x:c r="A610" s="177" t="str">
        <x:v>DYN-SPEC-TAM-39</x:v>
      </x:c>
      <x:c r="B610" s="177" t="str">
        <x:v>cautious 2028 externalLaser 204.8T空间</x:v>
      </x:c>
      <x:c r="C610" s="230" t="n">
        <x:f>'规格明细'!K39</x:f>
        <x:v>12.53376</x:v>
      </x:c>
      <x:c r="D610" s="230" t="n">
        <x:f>'规格明细'!G39*'规格明细'!I39/100000000</x:f>
        <x:v>12.53376</x:v>
      </x:c>
      <x:c r="E610" s="230" t="n">
        <x:f>C610-D610</x:f>
        <x:v>0</x:v>
      </x:c>
      <x:c r="F610" s="177" t="str">
        <x:f>IF(ABS(E610)&lt;0.000001,"PASS","FAIL")</x:f>
        <x:v>PASS</x:v>
      </x:c>
      <x:c r="G610" s="177" t="str">
        <x:v>组件数量×价格</x:v>
      </x:c>
      <x:c r="H610" s="184"/>
    </x:row>
    <x:row r="611">
      <x:c r="A611" s="177" t="str">
        <x:v>DYN-SPEC-REV-39</x:v>
      </x:c>
      <x:c r="B611" s="177" t="str">
        <x:v>cautious 2028 externalLaser 204.8T理论收入</x:v>
      </x:c>
      <x:c r="C611" s="230" t="n">
        <x:f>'规格明细'!L39</x:f>
        <x:v>5.149286399999999</x:v>
      </x:c>
      <x:c r="D611" s="230" t="n">
        <x:f>'规格明细'!K39*'规格明细'!J39</x:f>
        <x:v>5.149286399999999</x:v>
      </x:c>
      <x:c r="E611" s="230" t="n">
        <x:f>C611-D611</x:f>
        <x:v>0</x:v>
      </x:c>
      <x:c r="F611" s="177" t="str">
        <x:f>IF(ABS(E611)&lt;0.000001,"PASS","FAIL")</x:f>
        <x:v>PASS</x:v>
      </x:c>
      <x:c r="G611" s="177" t="str">
        <x:v>份额只乘一次</x:v>
      </x:c>
      <x:c r="H611" s="184"/>
    </x:row>
    <x:row r="612">
      <x:c r="A612" s="177" t="str">
        <x:v>DYN-SPEC-Q-40</x:v>
      </x:c>
      <x:c r="B612" s="177" t="str">
        <x:v>cautious 2028 equipment 102.4T数量</x:v>
      </x:c>
      <x:c r="C612" s="230" t="n">
        <x:f>'规格明细'!G40</x:f>
        <x:v>9600</x:v>
      </x:c>
      <x:c r="D612" s="230" t="n">
        <x:f>'规格明细'!D40*10000*'规格明细'!E40</x:f>
        <x:v>9600</x:v>
      </x:c>
      <x:c r="E612" s="230" t="n">
        <x:f>C612-D612</x:f>
        <x:v>0</x:v>
      </x:c>
      <x:c r="F612" s="177" t="str">
        <x:f>IF(ABS(E612)&lt;0.000001,"PASS","FAIL")</x:f>
        <x:v>PASS</x:v>
      </x:c>
      <x:c r="G612" s="177" t="str">
        <x:v>出货量×单位用量</x:v>
      </x:c>
      <x:c r="H612" s="184"/>
    </x:row>
    <x:row r="613">
      <x:c r="A613" s="177" t="str">
        <x:v>DYN-SPEC-TAM-40</x:v>
      </x:c>
      <x:c r="B613" s="177" t="str">
        <x:v>cautious 2028 equipment 102.4T空间</x:v>
      </x:c>
      <x:c r="C613" s="230" t="n">
        <x:f>'规格明细'!K40</x:f>
        <x:v>5.2224</x:v>
      </x:c>
      <x:c r="D613" s="230" t="n">
        <x:f>'规格明细'!G40*'规格明细'!I40/100000000</x:f>
        <x:v>5.2224</x:v>
      </x:c>
      <x:c r="E613" s="230" t="n">
        <x:f>C613-D613</x:f>
        <x:v>0</x:v>
      </x:c>
      <x:c r="F613" s="177" t="str">
        <x:f>IF(ABS(E613)&lt;0.000001,"PASS","FAIL")</x:f>
        <x:v>PASS</x:v>
      </x:c>
      <x:c r="G613" s="177" t="str">
        <x:v>组件数量×价格</x:v>
      </x:c>
      <x:c r="H613" s="184"/>
    </x:row>
    <x:row r="614">
      <x:c r="A614" s="177" t="str">
        <x:v>DYN-SPEC-REV-40</x:v>
      </x:c>
      <x:c r="B614" s="177" t="str">
        <x:v>cautious 2028 equipment 102.4T理论收入</x:v>
      </x:c>
      <x:c r="C614" s="230" t="n">
        <x:f>'规格明细'!L40</x:f>
        <x:v>1.9975680000000002</x:v>
      </x:c>
      <x:c r="D614" s="230" t="n">
        <x:f>'规格明细'!K40*'规格明细'!J40</x:f>
        <x:v>1.9975680000000002</x:v>
      </x:c>
      <x:c r="E614" s="230" t="n">
        <x:f>C614-D614</x:f>
        <x:v>0</x:v>
      </x:c>
      <x:c r="F614" s="177" t="str">
        <x:f>IF(ABS(E614)&lt;0.000001,"PASS","FAIL")</x:f>
        <x:v>PASS</x:v>
      </x:c>
      <x:c r="G614" s="177" t="str">
        <x:v>份额只乘一次</x:v>
      </x:c>
      <x:c r="H614" s="184"/>
    </x:row>
    <x:row r="615">
      <x:c r="A615" s="177" t="str">
        <x:v>DYN-SPEC-Q-41</x:v>
      </x:c>
      <x:c r="B615" s="177" t="str">
        <x:v>cautious 2028 equipment 204.8T数量</x:v>
      </x:c>
      <x:c r="C615" s="230" t="n">
        <x:f>'规格明细'!G41</x:f>
        <x:v>6400</x:v>
      </x:c>
      <x:c r="D615" s="230" t="n">
        <x:f>'规格明细'!D41*10000*'规格明细'!E41</x:f>
        <x:v>6400</x:v>
      </x:c>
      <x:c r="E615" s="230" t="n">
        <x:f>C615-D615</x:f>
        <x:v>0</x:v>
      </x:c>
      <x:c r="F615" s="177" t="str">
        <x:f>IF(ABS(E615)&lt;0.000001,"PASS","FAIL")</x:f>
        <x:v>PASS</x:v>
      </x:c>
      <x:c r="G615" s="177" t="str">
        <x:v>出货量×单位用量</x:v>
      </x:c>
      <x:c r="H615" s="184"/>
    </x:row>
    <x:row r="616">
      <x:c r="A616" s="177" t="str">
        <x:v>DYN-SPEC-TAM-41</x:v>
      </x:c>
      <x:c r="B616" s="177" t="str">
        <x:v>cautious 2028 equipment 204.8T空间</x:v>
      </x:c>
      <x:c r="C616" s="230" t="n">
        <x:f>'规格明细'!K41</x:f>
        <x:v>4.352</x:v>
      </x:c>
      <x:c r="D616" s="230" t="n">
        <x:f>'规格明细'!G41*'规格明细'!I41/100000000</x:f>
        <x:v>4.352</x:v>
      </x:c>
      <x:c r="E616" s="230" t="n">
        <x:f>C616-D616</x:f>
        <x:v>0</x:v>
      </x:c>
      <x:c r="F616" s="177" t="str">
        <x:f>IF(ABS(E616)&lt;0.000001,"PASS","FAIL")</x:f>
        <x:v>PASS</x:v>
      </x:c>
      <x:c r="G616" s="177" t="str">
        <x:v>组件数量×价格</x:v>
      </x:c>
      <x:c r="H616" s="184"/>
    </x:row>
    <x:row r="617">
      <x:c r="A617" s="177" t="str">
        <x:v>DYN-SPEC-REV-41</x:v>
      </x:c>
      <x:c r="B617" s="177" t="str">
        <x:v>cautious 2028 equipment 204.8T理论收入</x:v>
      </x:c>
      <x:c r="C617" s="230" t="n">
        <x:f>'规格明细'!L41</x:f>
        <x:v>1.8496000000000001</x:v>
      </x:c>
      <x:c r="D617" s="230" t="n">
        <x:f>'规格明细'!K41*'规格明细'!J41</x:f>
        <x:v>1.8496000000000001</x:v>
      </x:c>
      <x:c r="E617" s="230" t="n">
        <x:f>C617-D617</x:f>
        <x:v>0</x:v>
      </x:c>
      <x:c r="F617" s="177" t="str">
        <x:f>IF(ABS(E617)&lt;0.000001,"PASS","FAIL")</x:f>
        <x:v>PASS</x:v>
      </x:c>
      <x:c r="G617" s="177" t="str">
        <x:v>份额只乘一次</x:v>
      </x:c>
      <x:c r="H617" s="184"/>
    </x:row>
    <x:row r="618">
      <x:c r="A618" s="177" t="str">
        <x:v>DYN-SPEC-Q-42</x:v>
      </x:c>
      <x:c r="B618" s="177" t="str">
        <x:v>cautious 2029 pluggable-800g 800G数量</x:v>
      </x:c>
      <x:c r="C618" s="230" t="n">
        <x:f>'规格明细'!G42</x:f>
        <x:v>320000000</x:v>
      </x:c>
      <x:c r="D618" s="230" t="n">
        <x:f>'规格明细'!D42*10000*'规格明细'!E42</x:f>
        <x:v>320000000</x:v>
      </x:c>
      <x:c r="E618" s="230" t="n">
        <x:f>C618-D618</x:f>
        <x:v>0</x:v>
      </x:c>
      <x:c r="F618" s="177" t="str">
        <x:f>IF(ABS(E618)&lt;0.000001,"PASS","FAIL")</x:f>
        <x:v>PASS</x:v>
      </x:c>
      <x:c r="G618" s="177" t="str">
        <x:v>出货量×单位用量</x:v>
      </x:c>
      <x:c r="H618" s="184"/>
    </x:row>
    <x:row r="619">
      <x:c r="A619" s="177" t="str">
        <x:v>DYN-SPEC-TAM-42</x:v>
      </x:c>
      <x:c r="B619" s="177" t="str">
        <x:v>cautious 2029 pluggable-800g 800G空间</x:v>
      </x:c>
      <x:c r="C619" s="230" t="n">
        <x:f>'规格明细'!K42</x:f>
        <x:v>7.931519999999999</x:v>
      </x:c>
      <x:c r="D619" s="230" t="n">
        <x:f>'规格明细'!G42*'规格明细'!I42/100000000</x:f>
        <x:v>7.931519999999999</x:v>
      </x:c>
      <x:c r="E619" s="230" t="n">
        <x:f>C619-D619</x:f>
        <x:v>0</x:v>
      </x:c>
      <x:c r="F619" s="177" t="str">
        <x:f>IF(ABS(E619)&lt;0.000001,"PASS","FAIL")</x:f>
        <x:v>PASS</x:v>
      </x:c>
      <x:c r="G619" s="177" t="str">
        <x:v>组件数量×价格</x:v>
      </x:c>
      <x:c r="H619" s="184"/>
    </x:row>
    <x:row r="620">
      <x:c r="A620" s="177" t="str">
        <x:v>DYN-SPEC-REV-42</x:v>
      </x:c>
      <x:c r="B620" s="177" t="str">
        <x:v>cautious 2029 pluggable-800g 800G理论收入</x:v>
      </x:c>
      <x:c r="C620" s="230" t="n">
        <x:f>'规格明细'!L42</x:f>
        <x:v>0.7138368</x:v>
      </x:c>
      <x:c r="D620" s="230" t="n">
        <x:f>'规格明细'!K42*'规格明细'!J42</x:f>
        <x:v>0.7138368</x:v>
      </x:c>
      <x:c r="E620" s="230" t="n">
        <x:f>C620-D620</x:f>
        <x:v>0</x:v>
      </x:c>
      <x:c r="F620" s="177" t="str">
        <x:f>IF(ABS(E620)&lt;0.000001,"PASS","FAIL")</x:f>
        <x:v>PASS</x:v>
      </x:c>
      <x:c r="G620" s="177" t="str">
        <x:v>份额只乘一次</x:v>
      </x:c>
      <x:c r="H620" s="184"/>
    </x:row>
    <x:row r="621">
      <x:c r="A621" s="177" t="str">
        <x:v>DYN-SPEC-Q-43</x:v>
      </x:c>
      <x:c r="B621" s="177" t="str">
        <x:v>cautious 2029 pluggable-1p6t 1.6T数量</x:v>
      </x:c>
      <x:c r="C621" s="230" t="n">
        <x:f>'规格明细'!G43</x:f>
        <x:v>1450000000</x:v>
      </x:c>
      <x:c r="D621" s="230" t="n">
        <x:f>'规格明细'!D43*10000*'规格明细'!E43</x:f>
        <x:v>1450000000</x:v>
      </x:c>
      <x:c r="E621" s="230" t="n">
        <x:f>C621-D621</x:f>
        <x:v>0</x:v>
      </x:c>
      <x:c r="F621" s="177" t="str">
        <x:f>IF(ABS(E621)&lt;0.000001,"PASS","FAIL")</x:f>
        <x:v>PASS</x:v>
      </x:c>
      <x:c r="G621" s="177" t="str">
        <x:v>出货量×单位用量</x:v>
      </x:c>
      <x:c r="H621" s="184"/>
    </x:row>
    <x:row r="622">
      <x:c r="A622" s="177" t="str">
        <x:v>DYN-SPEC-TAM-43</x:v>
      </x:c>
      <x:c r="B622" s="177" t="str">
        <x:v>cautious 2029 pluggable-1p6t 1.6T空间</x:v>
      </x:c>
      <x:c r="C622" s="230" t="n">
        <x:f>'规格明细'!K43</x:f>
        <x:v>50.31557999999999</x:v>
      </x:c>
      <x:c r="D622" s="230" t="n">
        <x:f>'规格明细'!G43*'规格明细'!I43/100000000</x:f>
        <x:v>50.31557999999999</x:v>
      </x:c>
      <x:c r="E622" s="230" t="n">
        <x:f>C622-D622</x:f>
        <x:v>0</x:v>
      </x:c>
      <x:c r="F622" s="177" t="str">
        <x:f>IF(ABS(E622)&lt;0.000001,"PASS","FAIL")</x:f>
        <x:v>PASS</x:v>
      </x:c>
      <x:c r="G622" s="177" t="str">
        <x:v>组件数量×价格</x:v>
      </x:c>
      <x:c r="H622" s="184"/>
    </x:row>
    <x:row r="623">
      <x:c r="A623" s="177" t="str">
        <x:v>DYN-SPEC-REV-43</x:v>
      </x:c>
      <x:c r="B623" s="177" t="str">
        <x:v>cautious 2029 pluggable-1p6t 1.6T理论收入</x:v>
      </x:c>
      <x:c r="C623" s="230" t="n">
        <x:f>'规格明细'!L43</x:f>
        <x:v>4.5284021999999995</x:v>
      </x:c>
      <x:c r="D623" s="230" t="n">
        <x:f>'规格明细'!K43*'规格明细'!J43</x:f>
        <x:v>4.5284021999999995</x:v>
      </x:c>
      <x:c r="E623" s="230" t="n">
        <x:f>C623-D623</x:f>
        <x:v>0</x:v>
      </x:c>
      <x:c r="F623" s="177" t="str">
        <x:f>IF(ABS(E623)&lt;0.000001,"PASS","FAIL")</x:f>
        <x:v>PASS</x:v>
      </x:c>
      <x:c r="G623" s="177" t="str">
        <x:v>份额只乘一次</x:v>
      </x:c>
      <x:c r="H623" s="184"/>
    </x:row>
    <x:row r="624">
      <x:c r="A624" s="177" t="str">
        <x:v>DYN-SPEC-Q-44</x:v>
      </x:c>
      <x:c r="B624" s="177" t="str">
        <x:v>cautious 2029 ocs 小端口参考系统数量</x:v>
      </x:c>
      <x:c r="C624" s="230" t="n">
        <x:f>'规格明细'!G44</x:f>
        <x:v>28672000</x:v>
      </x:c>
      <x:c r="D624" s="230" t="n">
        <x:f>'规格明细'!D44*10000*'规格明细'!E44</x:f>
        <x:v>28672000</x:v>
      </x:c>
      <x:c r="E624" s="230" t="n">
        <x:f>C624-D624</x:f>
        <x:v>0</x:v>
      </x:c>
      <x:c r="F624" s="177" t="str">
        <x:f>IF(ABS(E624)&lt;0.000001,"PASS","FAIL")</x:f>
        <x:v>PASS</x:v>
      </x:c>
      <x:c r="G624" s="177" t="str">
        <x:v>出货量×单位用量</x:v>
      </x:c>
      <x:c r="H624" s="184"/>
    </x:row>
    <x:row r="625">
      <x:c r="A625" s="177" t="str">
        <x:v>DYN-SPEC-TAM-44</x:v>
      </x:c>
      <x:c r="B625" s="177" t="str">
        <x:v>cautious 2029 ocs 小端口参考系统空间</x:v>
      </x:c>
      <x:c r="C625" s="230" t="n">
        <x:f>'规格明细'!K44</x:f>
        <x:v>2.7869184</x:v>
      </x:c>
      <x:c r="D625" s="230" t="n">
        <x:f>'规格明细'!G44*'规格明细'!I44/100000000</x:f>
        <x:v>2.7869184</x:v>
      </x:c>
      <x:c r="E625" s="230" t="n">
        <x:f>C625-D625</x:f>
        <x:v>0</x:v>
      </x:c>
      <x:c r="F625" s="177" t="str">
        <x:f>IF(ABS(E625)&lt;0.000001,"PASS","FAIL")</x:f>
        <x:v>PASS</x:v>
      </x:c>
      <x:c r="G625" s="177" t="str">
        <x:v>组件数量×价格</x:v>
      </x:c>
      <x:c r="H625" s="184"/>
    </x:row>
    <x:row r="626">
      <x:c r="A626" s="177" t="str">
        <x:v>DYN-SPEC-REV-44</x:v>
      </x:c>
      <x:c r="B626" s="177" t="str">
        <x:v>cautious 2029 ocs 小端口参考系统理论收入</x:v>
      </x:c>
      <x:c r="C626" s="230" t="n">
        <x:f>'规格明细'!L44</x:f>
        <x:v>1.7557585919999998</x:v>
      </x:c>
      <x:c r="D626" s="230" t="n">
        <x:f>'规格明细'!K44*'规格明细'!J44</x:f>
        <x:v>1.7557585919999998</x:v>
      </x:c>
      <x:c r="E626" s="230" t="n">
        <x:f>C626-D626</x:f>
        <x:v>0</x:v>
      </x:c>
      <x:c r="F626" s="177" t="str">
        <x:f>IF(ABS(E626)&lt;0.000001,"PASS","FAIL")</x:f>
        <x:v>PASS</x:v>
      </x:c>
      <x:c r="G626" s="177" t="str">
        <x:v>份额只乘一次</x:v>
      </x:c>
      <x:c r="H626" s="184"/>
    </x:row>
    <x:row r="627">
      <x:c r="A627" s="177" t="str">
        <x:v>DYN-SPEC-Q-45</x:v>
      </x:c>
      <x:c r="B627" s="177" t="str">
        <x:v>cautious 2029 ocs 大端口320×320数量</x:v>
      </x:c>
      <x:c r="C627" s="230" t="n">
        <x:f>'规格明细'!G45</x:f>
        <x:v>133120000</x:v>
      </x:c>
      <x:c r="D627" s="230" t="n">
        <x:f>'规格明细'!D45*10000*'规格明细'!E45</x:f>
        <x:v>133120000</x:v>
      </x:c>
      <x:c r="E627" s="230" t="n">
        <x:f>C627-D627</x:f>
        <x:v>0</x:v>
      </x:c>
      <x:c r="F627" s="177" t="str">
        <x:f>IF(ABS(E627)&lt;0.000001,"PASS","FAIL")</x:f>
        <x:v>PASS</x:v>
      </x:c>
      <x:c r="G627" s="177" t="str">
        <x:v>出货量×单位用量</x:v>
      </x:c>
      <x:c r="H627" s="184"/>
    </x:row>
    <x:row r="628">
      <x:c r="A628" s="177" t="str">
        <x:v>DYN-SPEC-TAM-45</x:v>
      </x:c>
      <x:c r="B628" s="177" t="str">
        <x:v>cautious 2029 ocs 大端口320×320空间</x:v>
      </x:c>
      <x:c r="C628" s="230" t="n">
        <x:f>'规格明细'!K45</x:f>
        <x:v>25.878528</x:v>
      </x:c>
      <x:c r="D628" s="230" t="n">
        <x:f>'规格明细'!G45*'规格明细'!I45/100000000</x:f>
        <x:v>25.878528</x:v>
      </x:c>
      <x:c r="E628" s="230" t="n">
        <x:f>C628-D628</x:f>
        <x:v>0</x:v>
      </x:c>
      <x:c r="F628" s="177" t="str">
        <x:f>IF(ABS(E628)&lt;0.000001,"PASS","FAIL")</x:f>
        <x:v>PASS</x:v>
      </x:c>
      <x:c r="G628" s="177" t="str">
        <x:v>组件数量×价格</x:v>
      </x:c>
      <x:c r="H628" s="184"/>
    </x:row>
    <x:row r="629">
      <x:c r="A629" s="177" t="str">
        <x:v>DYN-SPEC-REV-45</x:v>
      </x:c>
      <x:c r="B629" s="177" t="str">
        <x:v>cautious 2029 ocs 大端口320×320理论收入</x:v>
      </x:c>
      <x:c r="C629" s="230" t="n">
        <x:f>'规格明细'!L45</x:f>
        <x:v>17.4680064</x:v>
      </x:c>
      <x:c r="D629" s="230" t="n">
        <x:f>'规格明细'!K45*'规格明细'!J45</x:f>
        <x:v>17.4680064</x:v>
      </x:c>
      <x:c r="E629" s="230" t="n">
        <x:f>C629-D629</x:f>
        <x:v>0</x:v>
      </x:c>
      <x:c r="F629" s="177" t="str">
        <x:f>IF(ABS(E629)&lt;0.000001,"PASS","FAIL")</x:f>
        <x:v>PASS</x:v>
      </x:c>
      <x:c r="G629" s="177" t="str">
        <x:v>份额只乘一次</x:v>
      </x:c>
      <x:c r="H629" s="184"/>
    </x:row>
    <x:row r="630">
      <x:c r="A630" s="177" t="str">
        <x:v>DYN-SPEC-Q-46</x:v>
      </x:c>
      <x:c r="B630" s="177" t="str">
        <x:v>cautious 2029 vGroove 102.4T数量</x:v>
      </x:c>
      <x:c r="C630" s="230" t="n">
        <x:f>'规格明细'!G46</x:f>
        <x:v>342719999.99999994</x:v>
      </x:c>
      <x:c r="D630" s="230" t="n">
        <x:f>'规格明细'!D46*10000*'规格明细'!E46</x:f>
        <x:v>342719999.99999994</x:v>
      </x:c>
      <x:c r="E630" s="230" t="n">
        <x:f>C630-D630</x:f>
        <x:v>0</x:v>
      </x:c>
      <x:c r="F630" s="177" t="str">
        <x:f>IF(ABS(E630)&lt;0.000001,"PASS","FAIL")</x:f>
        <x:v>PASS</x:v>
      </x:c>
      <x:c r="G630" s="177" t="str">
        <x:v>出货量×单位用量</x:v>
      </x:c>
      <x:c r="H630" s="184"/>
    </x:row>
    <x:row r="631">
      <x:c r="A631" s="177" t="str">
        <x:v>DYN-SPEC-TAM-46</x:v>
      </x:c>
      <x:c r="B631" s="177" t="str">
        <x:v>cautious 2029 vGroove 102.4T空间</x:v>
      </x:c>
      <x:c r="C631" s="230" t="n">
        <x:f>'规格明细'!K46</x:f>
        <x:v>16.913807769599998</x:v>
      </x:c>
      <x:c r="D631" s="230" t="n">
        <x:f>'规格明细'!G46*'规格明细'!I46/100000000</x:f>
        <x:v>16.913807769599998</x:v>
      </x:c>
      <x:c r="E631" s="230" t="n">
        <x:f>C631-D631</x:f>
        <x:v>0</x:v>
      </x:c>
      <x:c r="F631" s="177" t="str">
        <x:f>IF(ABS(E631)&lt;0.000001,"PASS","FAIL")</x:f>
        <x:v>PASS</x:v>
      </x:c>
      <x:c r="G631" s="177" t="str">
        <x:v>组件数量×价格</x:v>
      </x:c>
      <x:c r="H631" s="184"/>
    </x:row>
    <x:row r="632">
      <x:c r="A632" s="177" t="str">
        <x:v>DYN-SPEC-REV-46</x:v>
      </x:c>
      <x:c r="B632" s="177" t="str">
        <x:v>cautious 2029 vGroove 102.4T理论收入</x:v>
      </x:c>
      <x:c r="C632" s="230" t="n">
        <x:f>'规格明细'!L46</x:f>
        <x:v>9.133456195584</x:v>
      </x:c>
      <x:c r="D632" s="230" t="n">
        <x:f>'规格明细'!K46*'规格明细'!J46</x:f>
        <x:v>9.133456195584</x:v>
      </x:c>
      <x:c r="E632" s="230" t="n">
        <x:f>C632-D632</x:f>
        <x:v>0</x:v>
      </x:c>
      <x:c r="F632" s="177" t="str">
        <x:f>IF(ABS(E632)&lt;0.000001,"PASS","FAIL")</x:f>
        <x:v>PASS</x:v>
      </x:c>
      <x:c r="G632" s="177" t="str">
        <x:v>份额只乘一次</x:v>
      </x:c>
      <x:c r="H632" s="184"/>
    </x:row>
    <x:row r="633">
      <x:c r="A633" s="177" t="str">
        <x:v>DYN-SPEC-Q-47</x:v>
      </x:c>
      <x:c r="B633" s="177" t="str">
        <x:v>cautious 2029 vGroove 204.8T数量</x:v>
      </x:c>
      <x:c r="C633" s="230" t="n">
        <x:f>'规格明细'!G47</x:f>
        <x:v>1272960000</x:v>
      </x:c>
      <x:c r="D633" s="230" t="n">
        <x:f>'规格明细'!D47*10000*'规格明细'!E47</x:f>
        <x:v>1272960000</x:v>
      </x:c>
      <x:c r="E633" s="230" t="n">
        <x:f>C633-D633</x:f>
        <x:v>0</x:v>
      </x:c>
      <x:c r="F633" s="177" t="str">
        <x:f>IF(ABS(E633)&lt;0.000001,"PASS","FAIL")</x:f>
        <x:v>PASS</x:v>
      </x:c>
      <x:c r="G633" s="177" t="str">
        <x:v>出货量×单位用量</x:v>
      </x:c>
      <x:c r="H633" s="184"/>
    </x:row>
    <x:row r="634">
      <x:c r="A634" s="177" t="str">
        <x:v>DYN-SPEC-TAM-47</x:v>
      </x:c>
      <x:c r="B634" s="177" t="str">
        <x:v>cautious 2029 vGroove 204.8T空间</x:v>
      </x:c>
      <x:c r="C634" s="230" t="n">
        <x:f>'规格明细'!K47</x:f>
        <x:v>78.528393216</x:v>
      </x:c>
      <x:c r="D634" s="230" t="n">
        <x:f>'规格明细'!G47*'规格明细'!I47/100000000</x:f>
        <x:v>78.528393216</x:v>
      </x:c>
      <x:c r="E634" s="230" t="n">
        <x:f>C634-D634</x:f>
        <x:v>0</x:v>
      </x:c>
      <x:c r="F634" s="177" t="str">
        <x:f>IF(ABS(E634)&lt;0.000001,"PASS","FAIL")</x:f>
        <x:v>PASS</x:v>
      </x:c>
      <x:c r="G634" s="177" t="str">
        <x:v>组件数量×价格</x:v>
      </x:c>
      <x:c r="H634" s="184"/>
    </x:row>
    <x:row r="635">
      <x:c r="A635" s="177" t="str">
        <x:v>DYN-SPEC-REV-47</x:v>
      </x:c>
      <x:c r="B635" s="177" t="str">
        <x:v>cautious 2029 vGroove 204.8T理论收入</x:v>
      </x:c>
      <x:c r="C635" s="230" t="n">
        <x:f>'规格明细'!L47</x:f>
        <x:v>45.93911003136</x:v>
      </x:c>
      <x:c r="D635" s="230" t="n">
        <x:f>'规格明细'!K47*'规格明细'!J47</x:f>
        <x:v>45.93911003136</x:v>
      </x:c>
      <x:c r="E635" s="230" t="n">
        <x:f>C635-D635</x:f>
        <x:v>0</x:v>
      </x:c>
      <x:c r="F635" s="177" t="str">
        <x:f>IF(ABS(E635)&lt;0.000001,"PASS","FAIL")</x:f>
        <x:v>PASS</x:v>
      </x:c>
      <x:c r="G635" s="177" t="str">
        <x:v>份额只乘一次</x:v>
      </x:c>
      <x:c r="H635" s="184"/>
    </x:row>
    <x:row r="636">
      <x:c r="A636" s="177" t="str">
        <x:v>DYN-SPEC-Q-48</x:v>
      </x:c>
      <x:c r="B636" s="177" t="str">
        <x:v>cautious 2029 fauPrism 102.4T数量</x:v>
      </x:c>
      <x:c r="C636" s="230" t="n">
        <x:f>'规格明细'!G48</x:f>
        <x:v>342719999.99999994</x:v>
      </x:c>
      <x:c r="D636" s="230" t="n">
        <x:f>'规格明细'!D48*10000*'规格明细'!E48</x:f>
        <x:v>342719999.99999994</x:v>
      </x:c>
      <x:c r="E636" s="230" t="n">
        <x:f>C636-D636</x:f>
        <x:v>0</x:v>
      </x:c>
      <x:c r="F636" s="177" t="str">
        <x:f>IF(ABS(E636)&lt;0.000001,"PASS","FAIL")</x:f>
        <x:v>PASS</x:v>
      </x:c>
      <x:c r="G636" s="177" t="str">
        <x:v>出货量×单位用量</x:v>
      </x:c>
      <x:c r="H636" s="184"/>
    </x:row>
    <x:row r="637">
      <x:c r="A637" s="177" t="str">
        <x:v>DYN-SPEC-TAM-48</x:v>
      </x:c>
      <x:c r="B637" s="177" t="str">
        <x:v>cautious 2029 fauPrism 102.4T空间</x:v>
      </x:c>
      <x:c r="C637" s="230" t="n">
        <x:f>'规格明细'!K48</x:f>
        <x:v>24.162582527999998</x:v>
      </x:c>
      <x:c r="D637" s="230" t="n">
        <x:f>'规格明细'!G48*'规格明细'!I48/100000000</x:f>
        <x:v>24.162582527999998</x:v>
      </x:c>
      <x:c r="E637" s="230" t="n">
        <x:f>C637-D637</x:f>
        <x:v>0</x:v>
      </x:c>
      <x:c r="F637" s="177" t="str">
        <x:f>IF(ABS(E637)&lt;0.000001,"PASS","FAIL")</x:f>
        <x:v>PASS</x:v>
      </x:c>
      <x:c r="G637" s="177" t="str">
        <x:v>组件数量×价格</x:v>
      </x:c>
      <x:c r="H637" s="184"/>
    </x:row>
    <x:row r="638">
      <x:c r="A638" s="177" t="str">
        <x:v>DYN-SPEC-REV-48</x:v>
      </x:c>
      <x:c r="B638" s="177" t="str">
        <x:v>cautious 2029 fauPrism 102.4T理论收入</x:v>
      </x:c>
      <x:c r="C638" s="230" t="n">
        <x:f>'规格明细'!L48</x:f>
        <x:v>10.8731621376</x:v>
      </x:c>
      <x:c r="D638" s="230" t="n">
        <x:f>'规格明细'!K48*'规格明细'!J48</x:f>
        <x:v>10.8731621376</x:v>
      </x:c>
      <x:c r="E638" s="230" t="n">
        <x:f>C638-D638</x:f>
        <x:v>0</x:v>
      </x:c>
      <x:c r="F638" s="177" t="str">
        <x:f>IF(ABS(E638)&lt;0.000001,"PASS","FAIL")</x:f>
        <x:v>PASS</x:v>
      </x:c>
      <x:c r="G638" s="177" t="str">
        <x:v>份额只乘一次</x:v>
      </x:c>
      <x:c r="H638" s="184"/>
    </x:row>
    <x:row r="639">
      <x:c r="A639" s="177" t="str">
        <x:v>DYN-SPEC-Q-49</x:v>
      </x:c>
      <x:c r="B639" s="177" t="str">
        <x:v>cautious 2029 fauPrism 204.8T数量</x:v>
      </x:c>
      <x:c r="C639" s="230" t="n">
        <x:f>'规格明细'!G49</x:f>
        <x:v>1272960000</x:v>
      </x:c>
      <x:c r="D639" s="230" t="n">
        <x:f>'规格明细'!D49*10000*'规格明细'!E49</x:f>
        <x:v>1272960000</x:v>
      </x:c>
      <x:c r="E639" s="230" t="n">
        <x:f>C639-D639</x:f>
        <x:v>0</x:v>
      </x:c>
      <x:c r="F639" s="177" t="str">
        <x:f>IF(ABS(E639)&lt;0.000001,"PASS","FAIL")</x:f>
        <x:v>PASS</x:v>
      </x:c>
      <x:c r="G639" s="177" t="str">
        <x:v>出货量×单位用量</x:v>
      </x:c>
      <x:c r="H639" s="184"/>
    </x:row>
    <x:row r="640">
      <x:c r="A640" s="177" t="str">
        <x:v>DYN-SPEC-TAM-49</x:v>
      </x:c>
      <x:c r="B640" s="177" t="str">
        <x:v>cautious 2029 fauPrism 204.8T空间</x:v>
      </x:c>
      <x:c r="C640" s="230" t="n">
        <x:f>'规格明细'!K49</x:f>
        <x:v>112.18341888</x:v>
      </x:c>
      <x:c r="D640" s="230" t="n">
        <x:f>'规格明细'!G49*'规格明细'!I49/100000000</x:f>
        <x:v>112.18341888</x:v>
      </x:c>
      <x:c r="E640" s="230" t="n">
        <x:f>C640-D640</x:f>
        <x:v>0</x:v>
      </x:c>
      <x:c r="F640" s="177" t="str">
        <x:f>IF(ABS(E640)&lt;0.000001,"PASS","FAIL")</x:f>
        <x:v>PASS</x:v>
      </x:c>
      <x:c r="G640" s="177" t="str">
        <x:v>组件数量×价格</x:v>
      </x:c>
      <x:c r="H640" s="184"/>
    </x:row>
    <x:row r="641">
      <x:c r="A641" s="177" t="str">
        <x:v>DYN-SPEC-REV-49</x:v>
      </x:c>
      <x:c r="B641" s="177" t="str">
        <x:v>cautious 2029 fauPrism 204.8T理论收入</x:v>
      </x:c>
      <x:c r="C641" s="230" t="n">
        <x:f>'规格明细'!L49</x:f>
        <x:v>50.482538496000004</x:v>
      </x:c>
      <x:c r="D641" s="230" t="n">
        <x:f>'规格明细'!K49*'规格明细'!J49</x:f>
        <x:v>50.482538496000004</x:v>
      </x:c>
      <x:c r="E641" s="230" t="n">
        <x:f>C641-D641</x:f>
        <x:v>0</x:v>
      </x:c>
      <x:c r="F641" s="177" t="str">
        <x:f>IF(ABS(E641)&lt;0.000001,"PASS","FAIL")</x:f>
        <x:v>PASS</x:v>
      </x:c>
      <x:c r="G641" s="177" t="str">
        <x:v>份额只乘一次</x:v>
      </x:c>
      <x:c r="H641" s="184"/>
    </x:row>
    <x:row r="642">
      <x:c r="A642" s="177" t="str">
        <x:v>DYN-SPEC-Q-50</x:v>
      </x:c>
      <x:c r="B642" s="177" t="str">
        <x:v>cautious 2029 externalLaser 102.4T数量</x:v>
      </x:c>
      <x:c r="C642" s="230" t="n">
        <x:f>'规格明细'!G50</x:f>
        <x:v>38079999.99999999</x:v>
      </x:c>
      <x:c r="D642" s="230" t="n">
        <x:f>'规格明细'!D50*10000*'规格明细'!E50</x:f>
        <x:v>38079999.99999999</x:v>
      </x:c>
      <x:c r="E642" s="230" t="n">
        <x:f>C642-D642</x:f>
        <x:v>0</x:v>
      </x:c>
      <x:c r="F642" s="177" t="str">
        <x:f>IF(ABS(E642)&lt;0.000001,"PASS","FAIL")</x:f>
        <x:v>PASS</x:v>
      </x:c>
      <x:c r="G642" s="177" t="str">
        <x:v>出货量×单位用量</x:v>
      </x:c>
      <x:c r="H642" s="184"/>
    </x:row>
    <x:row r="643">
      <x:c r="A643" s="177" t="str">
        <x:v>DYN-SPEC-TAM-50</x:v>
      </x:c>
      <x:c r="B643" s="177" t="str">
        <x:v>cautious 2029 externalLaser 102.4T空间</x:v>
      </x:c>
      <x:c r="C643" s="230" t="n">
        <x:f>'规格明细'!K50</x:f>
        <x:v>13.42365696</x:v>
      </x:c>
      <x:c r="D643" s="230" t="n">
        <x:f>'规格明细'!G50*'规格明细'!I50/100000000</x:f>
        <x:v>13.42365696</x:v>
      </x:c>
      <x:c r="E643" s="230" t="n">
        <x:f>C643-D643</x:f>
        <x:v>0</x:v>
      </x:c>
      <x:c r="F643" s="177" t="str">
        <x:f>IF(ABS(E643)&lt;0.000001,"PASS","FAIL")</x:f>
        <x:v>PASS</x:v>
      </x:c>
      <x:c r="G643" s="177" t="str">
        <x:v>组件数量×价格</x:v>
      </x:c>
      <x:c r="H643" s="184"/>
    </x:row>
    <x:row r="644">
      <x:c r="A644" s="177" t="str">
        <x:v>DYN-SPEC-REV-50</x:v>
      </x:c>
      <x:c r="B644" s="177" t="str">
        <x:v>cautious 2029 externalLaser 102.4T理论收入</x:v>
      </x:c>
      <x:c r="C644" s="230" t="n">
        <x:f>'规格明细'!L50</x:f>
        <x:v>5.03387136</x:v>
      </x:c>
      <x:c r="D644" s="230" t="n">
        <x:f>'规格明细'!K50*'规格明细'!J50</x:f>
        <x:v>5.03387136</x:v>
      </x:c>
      <x:c r="E644" s="230" t="n">
        <x:f>C644-D644</x:f>
        <x:v>0</x:v>
      </x:c>
      <x:c r="F644" s="177" t="str">
        <x:f>IF(ABS(E644)&lt;0.000001,"PASS","FAIL")</x:f>
        <x:v>PASS</x:v>
      </x:c>
      <x:c r="G644" s="177" t="str">
        <x:v>份额只乘一次</x:v>
      </x:c>
      <x:c r="H644" s="184"/>
    </x:row>
    <x:row r="645">
      <x:c r="A645" s="177" t="str">
        <x:v>DYN-SPEC-Q-51</x:v>
      </x:c>
      <x:c r="B645" s="177" t="str">
        <x:v>cautious 2029 externalLaser 204.8T数量</x:v>
      </x:c>
      <x:c r="C645" s="230" t="n">
        <x:f>'规格明细'!G51</x:f>
        <x:v>70720000</x:v>
      </x:c>
      <x:c r="D645" s="230" t="n">
        <x:f>'规格明细'!D51*10000*'规格明细'!E51</x:f>
        <x:v>70720000</x:v>
      </x:c>
      <x:c r="E645" s="230" t="n">
        <x:f>C645-D645</x:f>
        <x:v>0</x:v>
      </x:c>
      <x:c r="F645" s="177" t="str">
        <x:f>IF(ABS(E645)&lt;0.000001,"PASS","FAIL")</x:f>
        <x:v>PASS</x:v>
      </x:c>
      <x:c r="G645" s="177" t="str">
        <x:v>出货量×单位用量</x:v>
      </x:c>
      <x:c r="H645" s="184"/>
    </x:row>
    <x:row r="646">
      <x:c r="A646" s="177" t="str">
        <x:v>DYN-SPEC-TAM-51</x:v>
      </x:c>
      <x:c r="B646" s="177" t="str">
        <x:v>cautious 2029 externalLaser 204.8T空间</x:v>
      </x:c>
      <x:c r="C646" s="230" t="n">
        <x:f>'规格明细'!K51</x:f>
        <x:v>31.1620608</x:v>
      </x:c>
      <x:c r="D646" s="230" t="n">
        <x:f>'规格明细'!G51*'规格明细'!I51/100000000</x:f>
        <x:v>31.1620608</x:v>
      </x:c>
      <x:c r="E646" s="230" t="n">
        <x:f>C646-D646</x:f>
        <x:v>0</x:v>
      </x:c>
      <x:c r="F646" s="177" t="str">
        <x:f>IF(ABS(E646)&lt;0.000001,"PASS","FAIL")</x:f>
        <x:v>PASS</x:v>
      </x:c>
      <x:c r="G646" s="177" t="str">
        <x:v>组件数量×价格</x:v>
      </x:c>
      <x:c r="H646" s="184"/>
    </x:row>
    <x:row r="647">
      <x:c r="A647" s="177" t="str">
        <x:v>DYN-SPEC-REV-51</x:v>
      </x:c>
      <x:c r="B647" s="177" t="str">
        <x:v>cautious 2029 externalLaser 204.8T理论收入</x:v>
      </x:c>
      <x:c r="C647" s="230" t="n">
        <x:f>'规格明细'!L51</x:f>
        <x:v>13.088065536</x:v>
      </x:c>
      <x:c r="D647" s="230" t="n">
        <x:f>'规格明细'!K51*'规格明细'!J51</x:f>
        <x:v>13.088065536</x:v>
      </x:c>
      <x:c r="E647" s="230" t="n">
        <x:f>C647-D647</x:f>
        <x:v>0</x:v>
      </x:c>
      <x:c r="F647" s="177" t="str">
        <x:f>IF(ABS(E647)&lt;0.000001,"PASS","FAIL")</x:f>
        <x:v>PASS</x:v>
      </x:c>
      <x:c r="G647" s="177" t="str">
        <x:v>份额只乘一次</x:v>
      </x:c>
      <x:c r="H647" s="184"/>
    </x:row>
    <x:row r="648">
      <x:c r="A648" s="177" t="str">
        <x:v>DYN-SPEC-Q-52</x:v>
      </x:c>
      <x:c r="B648" s="177" t="str">
        <x:v>cautious 2029 equipment 102.4T数量</x:v>
      </x:c>
      <x:c r="C648" s="230" t="n">
        <x:f>'规格明细'!G52</x:f>
        <x:v>9519.999999999998</x:v>
      </x:c>
      <x:c r="D648" s="230" t="n">
        <x:f>'规格明细'!D52*10000*'规格明细'!E52</x:f>
        <x:v>9519.999999999998</x:v>
      </x:c>
      <x:c r="E648" s="230" t="n">
        <x:f>C648-D648</x:f>
        <x:v>0</x:v>
      </x:c>
      <x:c r="F648" s="177" t="str">
        <x:f>IF(ABS(E648)&lt;0.000001,"PASS","FAIL")</x:f>
        <x:v>PASS</x:v>
      </x:c>
      <x:c r="G648" s="177" t="str">
        <x:v>出货量×单位用量</x:v>
      </x:c>
      <x:c r="H648" s="184"/>
    </x:row>
    <x:row r="649">
      <x:c r="A649" s="177" t="str">
        <x:v>DYN-SPEC-TAM-52</x:v>
      </x:c>
      <x:c r="B649" s="177" t="str">
        <x:v>cautious 2029 equipment 102.4T空间</x:v>
      </x:c>
      <x:c r="C649" s="230" t="n">
        <x:f>'规格明细'!K52</x:f>
        <x:v>5.178879999999999</x:v>
      </x:c>
      <x:c r="D649" s="230" t="n">
        <x:f>'规格明细'!G52*'规格明细'!I52/100000000</x:f>
        <x:v>5.178879999999999</x:v>
      </x:c>
      <x:c r="E649" s="230" t="n">
        <x:f>C649-D649</x:f>
        <x:v>0</x:v>
      </x:c>
      <x:c r="F649" s="177" t="str">
        <x:f>IF(ABS(E649)&lt;0.000001,"PASS","FAIL")</x:f>
        <x:v>PASS</x:v>
      </x:c>
      <x:c r="G649" s="177" t="str">
        <x:v>组件数量×价格</x:v>
      </x:c>
      <x:c r="H649" s="184"/>
    </x:row>
    <x:row r="650">
      <x:c r="A650" s="177" t="str">
        <x:v>DYN-SPEC-REV-52</x:v>
      </x:c>
      <x:c r="B650" s="177" t="str">
        <x:v>cautious 2029 equipment 102.4T理论收入</x:v>
      </x:c>
      <x:c r="C650" s="230" t="n">
        <x:f>'规格明细'!L52</x:f>
        <x:v>2.3304959999999992</x:v>
      </x:c>
      <x:c r="D650" s="230" t="n">
        <x:f>'规格明细'!K52*'规格明细'!J52</x:f>
        <x:v>2.3304959999999992</x:v>
      </x:c>
      <x:c r="E650" s="230" t="n">
        <x:f>C650-D650</x:f>
        <x:v>0</x:v>
      </x:c>
      <x:c r="F650" s="177" t="str">
        <x:f>IF(ABS(E650)&lt;0.000001,"PASS","FAIL")</x:f>
        <x:v>PASS</x:v>
      </x:c>
      <x:c r="G650" s="177" t="str">
        <x:v>份额只乘一次</x:v>
      </x:c>
      <x:c r="H650" s="184"/>
    </x:row>
    <x:row r="651">
      <x:c r="A651" s="177" t="str">
        <x:v>DYN-SPEC-Q-53</x:v>
      </x:c>
      <x:c r="B651" s="177" t="str">
        <x:v>cautious 2029 equipment 204.8T数量</x:v>
      </x:c>
      <x:c r="C651" s="230" t="n">
        <x:f>'规格明细'!G53</x:f>
        <x:v>17680</x:v>
      </x:c>
      <x:c r="D651" s="230" t="n">
        <x:f>'规格明细'!D53*10000*'规格明细'!E53</x:f>
        <x:v>17680</x:v>
      </x:c>
      <x:c r="E651" s="230" t="n">
        <x:f>C651-D651</x:f>
        <x:v>0</x:v>
      </x:c>
      <x:c r="F651" s="177" t="str">
        <x:f>IF(ABS(E651)&lt;0.000001,"PASS","FAIL")</x:f>
        <x:v>PASS</x:v>
      </x:c>
      <x:c r="G651" s="177" t="str">
        <x:v>出货量×单位用量</x:v>
      </x:c>
      <x:c r="H651" s="184"/>
    </x:row>
    <x:row r="652">
      <x:c r="A652" s="177" t="str">
        <x:v>DYN-SPEC-TAM-53</x:v>
      </x:c>
      <x:c r="B652" s="177" t="str">
        <x:v>cautious 2029 equipment 204.8T空间</x:v>
      </x:c>
      <x:c r="C652" s="230" t="n">
        <x:f>'规格明细'!K53</x:f>
        <x:v>12.0224</x:v>
      </x:c>
      <x:c r="D652" s="230" t="n">
        <x:f>'规格明细'!G53*'规格明细'!I53/100000000</x:f>
        <x:v>12.0224</x:v>
      </x:c>
      <x:c r="E652" s="230" t="n">
        <x:f>C652-D652</x:f>
        <x:v>0</x:v>
      </x:c>
      <x:c r="F652" s="177" t="str">
        <x:f>IF(ABS(E652)&lt;0.000001,"PASS","FAIL")</x:f>
        <x:v>PASS</x:v>
      </x:c>
      <x:c r="G652" s="177" t="str">
        <x:v>组件数量×价格</x:v>
      </x:c>
      <x:c r="H652" s="184"/>
    </x:row>
    <x:row r="653">
      <x:c r="A653" s="177" t="str">
        <x:v>DYN-SPEC-REV-53</x:v>
      </x:c>
      <x:c r="B653" s="177" t="str">
        <x:v>cautious 2029 equipment 204.8T理论收入</x:v>
      </x:c>
      <x:c r="C653" s="230" t="n">
        <x:f>'规格明细'!L53</x:f>
        <x:v>5.951088</x:v>
      </x:c>
      <x:c r="D653" s="230" t="n">
        <x:f>'规格明细'!K53*'规格明细'!J53</x:f>
        <x:v>5.951088</x:v>
      </x:c>
      <x:c r="E653" s="230" t="n">
        <x:f>C653-D653</x:f>
        <x:v>0</x:v>
      </x:c>
      <x:c r="F653" s="177" t="str">
        <x:f>IF(ABS(E653)&lt;0.000001,"PASS","FAIL")</x:f>
        <x:v>PASS</x:v>
      </x:c>
      <x:c r="G653" s="177" t="str">
        <x:v>份额只乘一次</x:v>
      </x:c>
      <x:c r="H653" s="184"/>
    </x:row>
    <x:row r="654">
      <x:c r="A654" s="177" t="str">
        <x:v>DYN-SPEC-Q-54</x:v>
      </x:c>
      <x:c r="B654" s="177" t="str">
        <x:v>cautious 2030 pluggable-800g 800G数量</x:v>
      </x:c>
      <x:c r="C654" s="230" t="n">
        <x:f>'规格明细'!G54</x:f>
        <x:v>180000000</x:v>
      </x:c>
      <x:c r="D654" s="230" t="n">
        <x:f>'规格明细'!D54*10000*'规格明细'!E54</x:f>
        <x:v>180000000</x:v>
      </x:c>
      <x:c r="E654" s="230" t="n">
        <x:f>C654-D654</x:f>
        <x:v>0</x:v>
      </x:c>
      <x:c r="F654" s="177" t="str">
        <x:f>IF(ABS(E654)&lt;0.000001,"PASS","FAIL")</x:f>
        <x:v>PASS</x:v>
      </x:c>
      <x:c r="G654" s="177" t="str">
        <x:v>出货量×单位用量</x:v>
      </x:c>
      <x:c r="H654" s="184"/>
    </x:row>
    <x:row r="655">
      <x:c r="A655" s="177" t="str">
        <x:v>DYN-SPEC-TAM-54</x:v>
      </x:c>
      <x:c r="B655" s="177" t="str">
        <x:v>cautious 2030 pluggable-800g 800G空间</x:v>
      </x:c>
      <x:c r="C655" s="230" t="n">
        <x:f>'规格明细'!K54</x:f>
        <x:v>4.015332</x:v>
      </x:c>
      <x:c r="D655" s="230" t="n">
        <x:f>'规格明细'!G54*'规格明细'!I54/100000000</x:f>
        <x:v>4.015332</x:v>
      </x:c>
      <x:c r="E655" s="230" t="n">
        <x:f>C655-D655</x:f>
        <x:v>0</x:v>
      </x:c>
      <x:c r="F655" s="177" t="str">
        <x:f>IF(ABS(E655)&lt;0.000001,"PASS","FAIL")</x:f>
        <x:v>PASS</x:v>
      </x:c>
      <x:c r="G655" s="177" t="str">
        <x:v>组件数量×价格</x:v>
      </x:c>
      <x:c r="H655" s="184"/>
    </x:row>
    <x:row r="656">
      <x:c r="A656" s="177" t="str">
        <x:v>DYN-SPEC-REV-54</x:v>
      </x:c>
      <x:c r="B656" s="177" t="str">
        <x:v>cautious 2030 pluggable-800g 800G理论收入</x:v>
      </x:c>
      <x:c r="C656" s="230" t="n">
        <x:f>'规格明细'!L54</x:f>
        <x:v>0.36137988000000004</x:v>
      </x:c>
      <x:c r="D656" s="230" t="n">
        <x:f>'规格明细'!K54*'规格明细'!J54</x:f>
        <x:v>0.36137988000000004</x:v>
      </x:c>
      <x:c r="E656" s="230" t="n">
        <x:f>C656-D656</x:f>
        <x:v>0</x:v>
      </x:c>
      <x:c r="F656" s="177" t="str">
        <x:f>IF(ABS(E656)&lt;0.000001,"PASS","FAIL")</x:f>
        <x:v>PASS</x:v>
      </x:c>
      <x:c r="G656" s="177" t="str">
        <x:v>份额只乘一次</x:v>
      </x:c>
      <x:c r="H656" s="184"/>
    </x:row>
    <x:row r="657">
      <x:c r="A657" s="177" t="str">
        <x:v>DYN-SPEC-Q-55</x:v>
      </x:c>
      <x:c r="B657" s="177" t="str">
        <x:v>cautious 2030 pluggable-1p6t 1.6T数量</x:v>
      </x:c>
      <x:c r="C657" s="230" t="n">
        <x:f>'规格明细'!G55</x:f>
        <x:v>1600000000</x:v>
      </x:c>
      <x:c r="D657" s="230" t="n">
        <x:f>'规格明细'!D55*10000*'规格明细'!E55</x:f>
        <x:v>1600000000</x:v>
      </x:c>
      <x:c r="E657" s="230" t="n">
        <x:f>C657-D657</x:f>
        <x:v>0</x:v>
      </x:c>
      <x:c r="F657" s="177" t="str">
        <x:f>IF(ABS(E657)&lt;0.000001,"PASS","FAIL")</x:f>
        <x:v>PASS</x:v>
      </x:c>
      <x:c r="G657" s="177" t="str">
        <x:v>出货量×单位用量</x:v>
      </x:c>
      <x:c r="H657" s="184"/>
    </x:row>
    <x:row r="658">
      <x:c r="A658" s="177" t="str">
        <x:v>DYN-SPEC-TAM-55</x:v>
      </x:c>
      <x:c r="B658" s="177" t="str">
        <x:v>cautious 2030 pluggable-1p6t 1.6T空间</x:v>
      </x:c>
      <x:c r="C658" s="230" t="n">
        <x:f>'规格明细'!K55</x:f>
        <x:v>49.968576</x:v>
      </x:c>
      <x:c r="D658" s="230" t="n">
        <x:f>'规格明细'!G55*'规格明细'!I55/100000000</x:f>
        <x:v>49.968576</x:v>
      </x:c>
      <x:c r="E658" s="230" t="n">
        <x:f>C658-D658</x:f>
        <x:v>0</x:v>
      </x:c>
      <x:c r="F658" s="177" t="str">
        <x:f>IF(ABS(E658)&lt;0.000001,"PASS","FAIL")</x:f>
        <x:v>PASS</x:v>
      </x:c>
      <x:c r="G658" s="177" t="str">
        <x:v>组件数量×价格</x:v>
      </x:c>
      <x:c r="H658" s="184"/>
    </x:row>
    <x:row r="659">
      <x:c r="A659" s="177" t="str">
        <x:v>DYN-SPEC-REV-55</x:v>
      </x:c>
      <x:c r="B659" s="177" t="str">
        <x:v>cautious 2030 pluggable-1p6t 1.6T理论收入</x:v>
      </x:c>
      <x:c r="C659" s="230" t="n">
        <x:f>'规格明细'!L55</x:f>
        <x:v>4.49717184</x:v>
      </x:c>
      <x:c r="D659" s="230" t="n">
        <x:f>'规格明细'!K55*'规格明细'!J55</x:f>
        <x:v>4.49717184</x:v>
      </x:c>
      <x:c r="E659" s="230" t="n">
        <x:f>C659-D659</x:f>
        <x:v>0</x:v>
      </x:c>
      <x:c r="F659" s="177" t="str">
        <x:f>IF(ABS(E659)&lt;0.000001,"PASS","FAIL")</x:f>
        <x:v>PASS</x:v>
      </x:c>
      <x:c r="G659" s="177" t="str">
        <x:v>份额只乘一次</x:v>
      </x:c>
      <x:c r="H659" s="184"/>
    </x:row>
    <x:row r="660">
      <x:c r="A660" s="177" t="str">
        <x:v>DYN-SPEC-Q-56</x:v>
      </x:c>
      <x:c r="B660" s="177" t="str">
        <x:v>cautious 2030 ocs 小端口参考系统数量</x:v>
      </x:c>
      <x:c r="C660" s="230" t="n">
        <x:f>'规格明细'!G56</x:f>
        <x:v>28800000</x:v>
      </x:c>
      <x:c r="D660" s="230" t="n">
        <x:f>'规格明细'!D56*10000*'规格明细'!E56</x:f>
        <x:v>28800000</x:v>
      </x:c>
      <x:c r="E660" s="230" t="n">
        <x:f>C660-D660</x:f>
        <x:v>0</x:v>
      </x:c>
      <x:c r="F660" s="177" t="str">
        <x:f>IF(ABS(E660)&lt;0.000001,"PASS","FAIL")</x:f>
        <x:v>PASS</x:v>
      </x:c>
      <x:c r="G660" s="177" t="str">
        <x:v>出货量×单位用量</x:v>
      </x:c>
      <x:c r="H660" s="184"/>
    </x:row>
    <x:row r="661">
      <x:c r="A661" s="177" t="str">
        <x:v>DYN-SPEC-TAM-56</x:v>
      </x:c>
      <x:c r="B661" s="177" t="str">
        <x:v>cautious 2030 ocs 小端口参考系统空间</x:v>
      </x:c>
      <x:c r="C661" s="230" t="n">
        <x:f>'规格明细'!K56</x:f>
        <x:v>2.5194240000000003</x:v>
      </x:c>
      <x:c r="D661" s="230" t="n">
        <x:f>'规格明细'!G56*'规格明细'!I56/100000000</x:f>
        <x:v>2.5194240000000003</x:v>
      </x:c>
      <x:c r="E661" s="230" t="n">
        <x:f>C661-D661</x:f>
        <x:v>0</x:v>
      </x:c>
      <x:c r="F661" s="177" t="str">
        <x:f>IF(ABS(E661)&lt;0.000001,"PASS","FAIL")</x:f>
        <x:v>PASS</x:v>
      </x:c>
      <x:c r="G661" s="177" t="str">
        <x:v>组件数量×价格</x:v>
      </x:c>
      <x:c r="H661" s="184"/>
    </x:row>
    <x:row r="662">
      <x:c r="A662" s="177" t="str">
        <x:v>DYN-SPEC-REV-56</x:v>
      </x:c>
      <x:c r="B662" s="177" t="str">
        <x:v>cautious 2030 ocs 小端口参考系统理论收入</x:v>
      </x:c>
      <x:c r="C662" s="230" t="n">
        <x:f>'规格明细'!L56</x:f>
        <x:v>1.3604889600000003</x:v>
      </x:c>
      <x:c r="D662" s="230" t="n">
        <x:f>'规格明细'!K56*'规格明细'!J56</x:f>
        <x:v>1.3604889600000003</x:v>
      </x:c>
      <x:c r="E662" s="230" t="n">
        <x:f>C662-D662</x:f>
        <x:v>0</x:v>
      </x:c>
      <x:c r="F662" s="177" t="str">
        <x:f>IF(ABS(E662)&lt;0.000001,"PASS","FAIL")</x:f>
        <x:v>PASS</x:v>
      </x:c>
      <x:c r="G662" s="177" t="str">
        <x:v>份额只乘一次</x:v>
      </x:c>
      <x:c r="H662" s="184"/>
    </x:row>
    <x:row r="663">
      <x:c r="A663" s="177" t="str">
        <x:v>DYN-SPEC-Q-57</x:v>
      </x:c>
      <x:c r="B663" s="177" t="str">
        <x:v>cautious 2030 ocs 大端口320×320数量</x:v>
      </x:c>
      <x:c r="C663" s="230" t="n">
        <x:f>'规格明细'!G57</x:f>
        <x:v>216000000</x:v>
      </x:c>
      <x:c r="D663" s="230" t="n">
        <x:f>'规格明细'!D57*10000*'规格明细'!E57</x:f>
        <x:v>216000000</x:v>
      </x:c>
      <x:c r="E663" s="230" t="n">
        <x:f>C663-D663</x:f>
        <x:v>0</x:v>
      </x:c>
      <x:c r="F663" s="177" t="str">
        <x:f>IF(ABS(E663)&lt;0.000001,"PASS","FAIL")</x:f>
        <x:v>PASS</x:v>
      </x:c>
      <x:c r="G663" s="177" t="str">
        <x:v>出货量×单位用量</x:v>
      </x:c>
      <x:c r="H663" s="184"/>
    </x:row>
    <x:row r="664">
      <x:c r="A664" s="177" t="str">
        <x:v>DYN-SPEC-TAM-57</x:v>
      </x:c>
      <x:c r="B664" s="177" t="str">
        <x:v>cautious 2030 ocs 大端口320×320空间</x:v>
      </x:c>
      <x:c r="C664" s="230" t="n">
        <x:f>'规格明细'!K57</x:f>
        <x:v>37.791360000000005</x:v>
      </x:c>
      <x:c r="D664" s="230" t="n">
        <x:f>'规格明细'!G57*'规格明细'!I57/100000000</x:f>
        <x:v>37.791360000000005</x:v>
      </x:c>
      <x:c r="E664" s="230" t="n">
        <x:f>C664-D664</x:f>
        <x:v>0</x:v>
      </x:c>
      <x:c r="F664" s="177" t="str">
        <x:f>IF(ABS(E664)&lt;0.000001,"PASS","FAIL")</x:f>
        <x:v>PASS</x:v>
      </x:c>
      <x:c r="G664" s="177" t="str">
        <x:v>组件数量×价格</x:v>
      </x:c>
      <x:c r="H664" s="184"/>
    </x:row>
    <x:row r="665">
      <x:c r="A665" s="177" t="str">
        <x:v>DYN-SPEC-REV-57</x:v>
      </x:c>
      <x:c r="B665" s="177" t="str">
        <x:v>cautious 2030 ocs 大端口320×320理论收入</x:v>
      </x:c>
      <x:c r="C665" s="230" t="n">
        <x:f>'规格明细'!L57</x:f>
        <x:v>22.107945600000004</x:v>
      </x:c>
      <x:c r="D665" s="230" t="n">
        <x:f>'规格明细'!K57*'规格明细'!J57</x:f>
        <x:v>22.107945600000004</x:v>
      </x:c>
      <x:c r="E665" s="230" t="n">
        <x:f>C665-D665</x:f>
        <x:v>0</x:v>
      </x:c>
      <x:c r="F665" s="177" t="str">
        <x:f>IF(ABS(E665)&lt;0.000001,"PASS","FAIL")</x:f>
        <x:v>PASS</x:v>
      </x:c>
      <x:c r="G665" s="177" t="str">
        <x:v>份额只乘一次</x:v>
      </x:c>
      <x:c r="H665" s="184"/>
    </x:row>
    <x:row r="666">
      <x:c r="A666" s="177" t="str">
        <x:v>DYN-SPEC-Q-58</x:v>
      </x:c>
      <x:c r="B666" s="177" t="str">
        <x:v>cautious 2030 vGroove 102.4T数量</x:v>
      </x:c>
      <x:c r="C666" s="230" t="n">
        <x:f>'规格明细'!G58</x:f>
        <x:v>276479999.99999994</x:v>
      </x:c>
      <x:c r="D666" s="230" t="n">
        <x:f>'规格明细'!D58*10000*'规格明细'!E58</x:f>
        <x:v>276479999.99999994</x:v>
      </x:c>
      <x:c r="E666" s="230" t="n">
        <x:f>C666-D666</x:f>
        <x:v>0</x:v>
      </x:c>
      <x:c r="F666" s="177" t="str">
        <x:f>IF(ABS(E666)&lt;0.000001,"PASS","FAIL")</x:f>
        <x:v>PASS</x:v>
      </x:c>
      <x:c r="G666" s="177" t="str">
        <x:v>出货量×单位用量</x:v>
      </x:c>
      <x:c r="H666" s="184"/>
    </x:row>
    <x:row r="667">
      <x:c r="A667" s="177" t="str">
        <x:v>DYN-SPEC-TAM-58</x:v>
      </x:c>
      <x:c r="B667" s="177" t="str">
        <x:v>cautious 2030 vGroove 102.4T空间</x:v>
      </x:c>
      <x:c r="C667" s="230" t="n">
        <x:f>'规格明细'!K58</x:f>
        <x:v>12.280277237759998</x:v>
      </x:c>
      <x:c r="D667" s="230" t="n">
        <x:f>'规格明细'!G58*'规格明细'!I58/100000000</x:f>
        <x:v>12.280277237759998</x:v>
      </x:c>
      <x:c r="E667" s="230" t="n">
        <x:f>C667-D667</x:f>
        <x:v>0</x:v>
      </x:c>
      <x:c r="F667" s="177" t="str">
        <x:f>IF(ABS(E667)&lt;0.000001,"PASS","FAIL")</x:f>
        <x:v>PASS</x:v>
      </x:c>
      <x:c r="G667" s="177" t="str">
        <x:v>组件数量×价格</x:v>
      </x:c>
      <x:c r="H667" s="184"/>
    </x:row>
    <x:row r="668">
      <x:c r="A668" s="177" t="str">
        <x:v>DYN-SPEC-REV-58</x:v>
      </x:c>
      <x:c r="B668" s="177" t="str">
        <x:v>cautious 2030 vGroove 102.4T理论收入</x:v>
      </x:c>
      <x:c r="C668" s="230" t="n">
        <x:f>'规格明细'!L58</x:f>
        <x:v>7.1839621840896</x:v>
      </x:c>
      <x:c r="D668" s="230" t="n">
        <x:f>'规格明细'!K58*'规格明细'!J58</x:f>
        <x:v>7.1839621840896</x:v>
      </x:c>
      <x:c r="E668" s="230" t="n">
        <x:f>C668-D668</x:f>
        <x:v>0</x:v>
      </x:c>
      <x:c r="F668" s="177" t="str">
        <x:f>IF(ABS(E668)&lt;0.000001,"PASS","FAIL")</x:f>
        <x:v>PASS</x:v>
      </x:c>
      <x:c r="G668" s="177" t="str">
        <x:v>份额只乘一次</x:v>
      </x:c>
      <x:c r="H668" s="184"/>
    </x:row>
    <x:row r="669">
      <x:c r="A669" s="177" t="str">
        <x:v>DYN-SPEC-Q-59</x:v>
      </x:c>
      <x:c r="B669" s="177" t="str">
        <x:v>cautious 2030 vGroove 204.8T数量</x:v>
      </x:c>
      <x:c r="C669" s="230" t="n">
        <x:f>'规格明细'!G59</x:f>
        <x:v>2211840000</x:v>
      </x:c>
      <x:c r="D669" s="230" t="n">
        <x:f>'规格明细'!D59*10000*'规格明细'!E59</x:f>
        <x:v>2211840000</x:v>
      </x:c>
      <x:c r="E669" s="230" t="n">
        <x:f>C669-D669</x:f>
        <x:v>0</x:v>
      </x:c>
      <x:c r="F669" s="177" t="str">
        <x:f>IF(ABS(E669)&lt;0.000001,"PASS","FAIL")</x:f>
        <x:v>PASS</x:v>
      </x:c>
      <x:c r="G669" s="177" t="str">
        <x:v>出货量×单位用量</x:v>
      </x:c>
      <x:c r="H669" s="184"/>
    </x:row>
    <x:row r="670">
      <x:c r="A670" s="177" t="str">
        <x:v>DYN-SPEC-TAM-59</x:v>
      </x:c>
      <x:c r="B670" s="177" t="str">
        <x:v>cautious 2030 vGroove 204.8T空间</x:v>
      </x:c>
      <x:c r="C670" s="230" t="n">
        <x:f>'规格明细'!K59</x:f>
        <x:v>122.80277237760002</x:v>
      </x:c>
      <x:c r="D670" s="230" t="n">
        <x:f>'规格明细'!G59*'规格明细'!I59/100000000</x:f>
        <x:v>122.80277237760002</x:v>
      </x:c>
      <x:c r="E670" s="230" t="n">
        <x:f>C670-D670</x:f>
        <x:v>0</x:v>
      </x:c>
      <x:c r="F670" s="177" t="str">
        <x:f>IF(ABS(E670)&lt;0.000001,"PASS","FAIL")</x:f>
        <x:v>PASS</x:v>
      </x:c>
      <x:c r="G670" s="177" t="str">
        <x:v>组件数量×价格</x:v>
      </x:c>
      <x:c r="H670" s="184"/>
    </x:row>
    <x:row r="671">
      <x:c r="A671" s="177" t="str">
        <x:v>DYN-SPEC-REV-59</x:v>
      </x:c>
      <x:c r="B671" s="177" t="str">
        <x:v>cautious 2030 vGroove 204.8T理论收入</x:v>
      </x:c>
      <x:c r="C671" s="230" t="n">
        <x:f>'规格明细'!L59</x:f>
        <x:v>77.36574659788803</x:v>
      </x:c>
      <x:c r="D671" s="230" t="n">
        <x:f>'规格明细'!K59*'规格明细'!J59</x:f>
        <x:v>77.36574659788803</x:v>
      </x:c>
      <x:c r="E671" s="230" t="n">
        <x:f>C671-D671</x:f>
        <x:v>0</x:v>
      </x:c>
      <x:c r="F671" s="177" t="str">
        <x:f>IF(ABS(E671)&lt;0.000001,"PASS","FAIL")</x:f>
        <x:v>PASS</x:v>
      </x:c>
      <x:c r="G671" s="177" t="str">
        <x:v>份额只乘一次</x:v>
      </x:c>
      <x:c r="H671" s="184"/>
    </x:row>
    <x:row r="672">
      <x:c r="A672" s="177" t="str">
        <x:v>DYN-SPEC-Q-60</x:v>
      </x:c>
      <x:c r="B672" s="177" t="str">
        <x:v>cautious 2030 fauPrism 102.4T数量</x:v>
      </x:c>
      <x:c r="C672" s="230" t="n">
        <x:f>'规格明细'!G60</x:f>
        <x:v>276479999.99999994</x:v>
      </x:c>
      <x:c r="D672" s="230" t="n">
        <x:f>'规格明细'!D60*10000*'规格明细'!E60</x:f>
        <x:v>276479999.99999994</x:v>
      </x:c>
      <x:c r="E672" s="230" t="n">
        <x:f>C672-D672</x:f>
        <x:v>0</x:v>
      </x:c>
      <x:c r="F672" s="177" t="str">
        <x:f>IF(ABS(E672)&lt;0.000001,"PASS","FAIL")</x:f>
        <x:v>PASS</x:v>
      </x:c>
      <x:c r="G672" s="177" t="str">
        <x:v>出货量×单位用量</x:v>
      </x:c>
      <x:c r="H672" s="184"/>
    </x:row>
    <x:row r="673">
      <x:c r="A673" s="177" t="str">
        <x:v>DYN-SPEC-TAM-60</x:v>
      </x:c>
      <x:c r="B673" s="177" t="str">
        <x:v>cautious 2030 fauPrism 102.4T空间</x:v>
      </x:c>
      <x:c r="C673" s="230" t="n">
        <x:f>'规格明细'!K60</x:f>
        <x:v>17.5432531968</x:v>
      </x:c>
      <x:c r="D673" s="230" t="n">
        <x:f>'规格明细'!G60*'规格明细'!I60/100000000</x:f>
        <x:v>17.5432531968</x:v>
      </x:c>
      <x:c r="E673" s="230" t="n">
        <x:f>C673-D673</x:f>
        <x:v>0</x:v>
      </x:c>
      <x:c r="F673" s="177" t="str">
        <x:f>IF(ABS(E673)&lt;0.000001,"PASS","FAIL")</x:f>
        <x:v>PASS</x:v>
      </x:c>
      <x:c r="G673" s="177" t="str">
        <x:v>组件数量×价格</x:v>
      </x:c>
      <x:c r="H673" s="184"/>
    </x:row>
    <x:row r="674">
      <x:c r="A674" s="177" t="str">
        <x:v>DYN-SPEC-REV-60</x:v>
      </x:c>
      <x:c r="B674" s="177" t="str">
        <x:v>cautious 2030 fauPrism 102.4T理论收入</x:v>
      </x:c>
      <x:c r="C674" s="230" t="n">
        <x:f>'规格明细'!L60</x:f>
        <x:v>7.8944639385599995</x:v>
      </x:c>
      <x:c r="D674" s="230" t="n">
        <x:f>'规格明细'!K60*'规格明细'!J60</x:f>
        <x:v>7.8944639385599995</x:v>
      </x:c>
      <x:c r="E674" s="230" t="n">
        <x:f>C674-D674</x:f>
        <x:v>0</x:v>
      </x:c>
      <x:c r="F674" s="177" t="str">
        <x:f>IF(ABS(E674)&lt;0.000001,"PASS","FAIL")</x:f>
        <x:v>PASS</x:v>
      </x:c>
      <x:c r="G674" s="177" t="str">
        <x:v>份额只乘一次</x:v>
      </x:c>
      <x:c r="H674" s="184"/>
    </x:row>
    <x:row r="675">
      <x:c r="A675" s="177" t="str">
        <x:v>DYN-SPEC-Q-61</x:v>
      </x:c>
      <x:c r="B675" s="177" t="str">
        <x:v>cautious 2030 fauPrism 204.8T数量</x:v>
      </x:c>
      <x:c r="C675" s="230" t="n">
        <x:f>'规格明细'!G61</x:f>
        <x:v>2211840000</x:v>
      </x:c>
      <x:c r="D675" s="230" t="n">
        <x:f>'规格明细'!D61*10000*'规格明细'!E61</x:f>
        <x:v>2211840000</x:v>
      </x:c>
      <x:c r="E675" s="230" t="n">
        <x:f>C675-D675</x:f>
        <x:v>0</x:v>
      </x:c>
      <x:c r="F675" s="177" t="str">
        <x:f>IF(ABS(E675)&lt;0.000001,"PASS","FAIL")</x:f>
        <x:v>PASS</x:v>
      </x:c>
      <x:c r="G675" s="177" t="str">
        <x:v>出货量×单位用量</x:v>
      </x:c>
      <x:c r="H675" s="184"/>
    </x:row>
    <x:row r="676">
      <x:c r="A676" s="177" t="str">
        <x:v>DYN-SPEC-TAM-61</x:v>
      </x:c>
      <x:c r="B676" s="177" t="str">
        <x:v>cautious 2030 fauPrism 204.8T空间</x:v>
      </x:c>
      <x:c r="C676" s="230" t="n">
        <x:f>'规格明细'!K61</x:f>
        <x:v>175.43253196800003</x:v>
      </x:c>
      <x:c r="D676" s="230" t="n">
        <x:f>'规格明细'!G61*'规格明细'!I61/100000000</x:f>
        <x:v>175.43253196800003</x:v>
      </x:c>
      <x:c r="E676" s="230" t="n">
        <x:f>C676-D676</x:f>
        <x:v>0</x:v>
      </x:c>
      <x:c r="F676" s="177" t="str">
        <x:f>IF(ABS(E676)&lt;0.000001,"PASS","FAIL")</x:f>
        <x:v>PASS</x:v>
      </x:c>
      <x:c r="G676" s="177" t="str">
        <x:v>组件数量×价格</x:v>
      </x:c>
      <x:c r="H676" s="184"/>
    </x:row>
    <x:row r="677">
      <x:c r="A677" s="177" t="str">
        <x:v>DYN-SPEC-REV-61</x:v>
      </x:c>
      <x:c r="B677" s="177" t="str">
        <x:v>cautious 2030 fauPrism 204.8T理论收入</x:v>
      </x:c>
      <x:c r="C677" s="230" t="n">
        <x:f>'规格明细'!L61</x:f>
        <x:v>78.94463938560001</x:v>
      </x:c>
      <x:c r="D677" s="230" t="n">
        <x:f>'规格明细'!K61*'规格明细'!J61</x:f>
        <x:v>78.94463938560001</x:v>
      </x:c>
      <x:c r="E677" s="230" t="n">
        <x:f>C677-D677</x:f>
        <x:v>0</x:v>
      </x:c>
      <x:c r="F677" s="177" t="str">
        <x:f>IF(ABS(E677)&lt;0.000001,"PASS","FAIL")</x:f>
        <x:v>PASS</x:v>
      </x:c>
      <x:c r="G677" s="177" t="str">
        <x:v>份额只乘一次</x:v>
      </x:c>
      <x:c r="H677" s="184"/>
    </x:row>
    <x:row r="678">
      <x:c r="A678" s="177" t="str">
        <x:v>DYN-SPEC-Q-62</x:v>
      </x:c>
      <x:c r="B678" s="177" t="str">
        <x:v>cautious 2030 externalLaser 102.4T数量</x:v>
      </x:c>
      <x:c r="C678" s="230" t="n">
        <x:f>'规格明细'!G62</x:f>
        <x:v>30719999.999999993</x:v>
      </x:c>
      <x:c r="D678" s="230" t="n">
        <x:f>'规格明细'!D62*10000*'规格明细'!E62</x:f>
        <x:v>30719999.999999993</x:v>
      </x:c>
      <x:c r="E678" s="230" t="n">
        <x:f>C678-D678</x:f>
        <x:v>0</x:v>
      </x:c>
      <x:c r="F678" s="177" t="str">
        <x:f>IF(ABS(E678)&lt;0.000001,"PASS","FAIL")</x:f>
        <x:v>PASS</x:v>
      </x:c>
      <x:c r="G678" s="177" t="str">
        <x:v>出货量×单位用量</x:v>
      </x:c>
      <x:c r="H678" s="184"/>
    </x:row>
    <x:row r="679">
      <x:c r="A679" s="177" t="str">
        <x:v>DYN-SPEC-TAM-62</x:v>
      </x:c>
      <x:c r="B679" s="177" t="str">
        <x:v>cautious 2030 externalLaser 102.4T空间</x:v>
      </x:c>
      <x:c r="C679" s="230" t="n">
        <x:f>'规格明细'!K62</x:f>
        <x:v>9.746251776</x:v>
      </x:c>
      <x:c r="D679" s="230" t="n">
        <x:f>'规格明细'!G62*'规格明细'!I62/100000000</x:f>
        <x:v>9.746251776</x:v>
      </x:c>
      <x:c r="E679" s="230" t="n">
        <x:f>C679-D679</x:f>
        <x:v>0</x:v>
      </x:c>
      <x:c r="F679" s="177" t="str">
        <x:f>IF(ABS(E679)&lt;0.000001,"PASS","FAIL")</x:f>
        <x:v>PASS</x:v>
      </x:c>
      <x:c r="G679" s="177" t="str">
        <x:v>组件数量×价格</x:v>
      </x:c>
      <x:c r="H679" s="184"/>
    </x:row>
    <x:row r="680">
      <x:c r="A680" s="177" t="str">
        <x:v>DYN-SPEC-REV-62</x:v>
      </x:c>
      <x:c r="B680" s="177" t="str">
        <x:v>cautious 2030 externalLaser 102.4T理论收入</x:v>
      </x:c>
      <x:c r="C680" s="230" t="n">
        <x:f>'规格明细'!L62</x:f>
        <x:v>3.5086506393600003</x:v>
      </x:c>
      <x:c r="D680" s="230" t="n">
        <x:f>'规格明细'!K62*'规格明细'!J62</x:f>
        <x:v>3.5086506393600003</x:v>
      </x:c>
      <x:c r="E680" s="230" t="n">
        <x:f>C680-D680</x:f>
        <x:v>0</x:v>
      </x:c>
      <x:c r="F680" s="177" t="str">
        <x:f>IF(ABS(E680)&lt;0.000001,"PASS","FAIL")</x:f>
        <x:v>PASS</x:v>
      </x:c>
      <x:c r="G680" s="177" t="str">
        <x:v>份额只乘一次</x:v>
      </x:c>
      <x:c r="H680" s="184"/>
    </x:row>
    <x:row r="681">
      <x:c r="A681" s="177" t="str">
        <x:v>DYN-SPEC-Q-63</x:v>
      </x:c>
      <x:c r="B681" s="177" t="str">
        <x:v>cautious 2030 externalLaser 204.8T数量</x:v>
      </x:c>
      <x:c r="C681" s="230" t="n">
        <x:f>'规格明细'!G63</x:f>
        <x:v>122880000</x:v>
      </x:c>
      <x:c r="D681" s="230" t="n">
        <x:f>'规格明细'!D63*10000*'规格明细'!E63</x:f>
        <x:v>122880000</x:v>
      </x:c>
      <x:c r="E681" s="230" t="n">
        <x:f>C681-D681</x:f>
        <x:v>0</x:v>
      </x:c>
      <x:c r="F681" s="177" t="str">
        <x:f>IF(ABS(E681)&lt;0.000001,"PASS","FAIL")</x:f>
        <x:v>PASS</x:v>
      </x:c>
      <x:c r="G681" s="177" t="str">
        <x:v>出货量×单位用量</x:v>
      </x:c>
      <x:c r="H681" s="184"/>
    </x:row>
    <x:row r="682">
      <x:c r="A682" s="177" t="str">
        <x:v>DYN-SPEC-TAM-63</x:v>
      </x:c>
      <x:c r="B682" s="177" t="str">
        <x:v>cautious 2030 externalLaser 204.8T空间</x:v>
      </x:c>
      <x:c r="C682" s="230" t="n">
        <x:f>'规格明细'!K63</x:f>
        <x:v>48.73125888</x:v>
      </x:c>
      <x:c r="D682" s="230" t="n">
        <x:f>'规格明细'!G63*'规格明细'!I63/100000000</x:f>
        <x:v>48.73125888</x:v>
      </x:c>
      <x:c r="E682" s="230" t="n">
        <x:f>C682-D682</x:f>
        <x:v>0</x:v>
      </x:c>
      <x:c r="F682" s="177" t="str">
        <x:f>IF(ABS(E682)&lt;0.000001,"PASS","FAIL")</x:f>
        <x:v>PASS</x:v>
      </x:c>
      <x:c r="G682" s="177" t="str">
        <x:v>组件数量×价格</x:v>
      </x:c>
      <x:c r="H682" s="184"/>
    </x:row>
    <x:row r="683">
      <x:c r="A683" s="177" t="str">
        <x:v>DYN-SPEC-REV-63</x:v>
      </x:c>
      <x:c r="B683" s="177" t="str">
        <x:v>cautious 2030 externalLaser 204.8T理论收入</x:v>
      </x:c>
      <x:c r="C683" s="230" t="n">
        <x:f>'规格明细'!L63</x:f>
        <x:v>19.7361598464</x:v>
      </x:c>
      <x:c r="D683" s="230" t="n">
        <x:f>'规格明细'!K63*'规格明细'!J63</x:f>
        <x:v>19.7361598464</x:v>
      </x:c>
      <x:c r="E683" s="230" t="n">
        <x:f>C683-D683</x:f>
        <x:v>0</x:v>
      </x:c>
      <x:c r="F683" s="177" t="str">
        <x:f>IF(ABS(E683)&lt;0.000001,"PASS","FAIL")</x:f>
        <x:v>PASS</x:v>
      </x:c>
      <x:c r="G683" s="177" t="str">
        <x:v>份额只乘一次</x:v>
      </x:c>
      <x:c r="H683" s="184"/>
    </x:row>
    <x:row r="684">
      <x:c r="A684" s="177" t="str">
        <x:v>DYN-SPEC-Q-64</x:v>
      </x:c>
      <x:c r="B684" s="177" t="str">
        <x:v>cautious 2030 equipment 102.4T数量</x:v>
      </x:c>
      <x:c r="C684" s="230" t="n">
        <x:f>'规格明细'!G64</x:f>
        <x:v>7679.999999999998</x:v>
      </x:c>
      <x:c r="D684" s="230" t="n">
        <x:f>'规格明细'!D64*10000*'规格明细'!E64</x:f>
        <x:v>7679.999999999998</x:v>
      </x:c>
      <x:c r="E684" s="230" t="n">
        <x:f>C684-D684</x:f>
        <x:v>0</x:v>
      </x:c>
      <x:c r="F684" s="177" t="str">
        <x:f>IF(ABS(E684)&lt;0.000001,"PASS","FAIL")</x:f>
        <x:v>PASS</x:v>
      </x:c>
      <x:c r="G684" s="177" t="str">
        <x:v>出货量×单位用量</x:v>
      </x:c>
      <x:c r="H684" s="184"/>
    </x:row>
    <x:row r="685">
      <x:c r="A685" s="177" t="str">
        <x:v>DYN-SPEC-TAM-64</x:v>
      </x:c>
      <x:c r="B685" s="177" t="str">
        <x:v>cautious 2030 equipment 102.4T空间</x:v>
      </x:c>
      <x:c r="C685" s="230" t="n">
        <x:f>'规格明细'!K64</x:f>
        <x:v>4.1779199999999985</x:v>
      </x:c>
      <x:c r="D685" s="230" t="n">
        <x:f>'规格明细'!G64*'规格明细'!I64/100000000</x:f>
        <x:v>4.1779199999999985</x:v>
      </x:c>
      <x:c r="E685" s="230" t="n">
        <x:f>C685-D685</x:f>
        <x:v>0</x:v>
      </x:c>
      <x:c r="F685" s="177" t="str">
        <x:f>IF(ABS(E685)&lt;0.000001,"PASS","FAIL")</x:f>
        <x:v>PASS</x:v>
      </x:c>
      <x:c r="G685" s="177" t="str">
        <x:v>组件数量×价格</x:v>
      </x:c>
      <x:c r="H685" s="184"/>
    </x:row>
    <x:row r="686">
      <x:c r="A686" s="177" t="str">
        <x:v>DYN-SPEC-REV-64</x:v>
      </x:c>
      <x:c r="B686" s="177" t="str">
        <x:v>cautious 2030 equipment 102.4T理论收入</x:v>
      </x:c>
      <x:c r="C686" s="230" t="n">
        <x:f>'规格明细'!L64</x:f>
        <x:v>2.0680703999999994</x:v>
      </x:c>
      <x:c r="D686" s="230" t="n">
        <x:f>'规格明细'!K64*'规格明细'!J64</x:f>
        <x:v>2.0680703999999994</x:v>
      </x:c>
      <x:c r="E686" s="230" t="n">
        <x:f>C686-D686</x:f>
        <x:v>0</x:v>
      </x:c>
      <x:c r="F686" s="177" t="str">
        <x:f>IF(ABS(E686)&lt;0.000001,"PASS","FAIL")</x:f>
        <x:v>PASS</x:v>
      </x:c>
      <x:c r="G686" s="177" t="str">
        <x:v>份额只乘一次</x:v>
      </x:c>
      <x:c r="H686" s="184"/>
    </x:row>
    <x:row r="687">
      <x:c r="A687" s="177" t="str">
        <x:v>DYN-SPEC-Q-65</x:v>
      </x:c>
      <x:c r="B687" s="177" t="str">
        <x:v>cautious 2030 equipment 204.8T数量</x:v>
      </x:c>
      <x:c r="C687" s="230" t="n">
        <x:f>'规格明细'!G65</x:f>
        <x:v>30720</x:v>
      </x:c>
      <x:c r="D687" s="230" t="n">
        <x:f>'规格明细'!D65*10000*'规格明细'!E65</x:f>
        <x:v>30720</x:v>
      </x:c>
      <x:c r="E687" s="230" t="n">
        <x:f>C687-D687</x:f>
        <x:v>0</x:v>
      </x:c>
      <x:c r="F687" s="177" t="str">
        <x:f>IF(ABS(E687)&lt;0.000001,"PASS","FAIL")</x:f>
        <x:v>PASS</x:v>
      </x:c>
      <x:c r="G687" s="177" t="str">
        <x:v>出货量×单位用量</x:v>
      </x:c>
      <x:c r="H687" s="184"/>
    </x:row>
    <x:row r="688">
      <x:c r="A688" s="177" t="str">
        <x:v>DYN-SPEC-TAM-65</x:v>
      </x:c>
      <x:c r="B688" s="177" t="str">
        <x:v>cautious 2030 equipment 204.8T空间</x:v>
      </x:c>
      <x:c r="C688" s="230" t="n">
        <x:f>'规格明细'!K65</x:f>
        <x:v>20.8896</x:v>
      </x:c>
      <x:c r="D688" s="230" t="n">
        <x:f>'规格明细'!G65*'规格明细'!I65/100000000</x:f>
        <x:v>20.8896</x:v>
      </x:c>
      <x:c r="E688" s="230" t="n">
        <x:f>C688-D688</x:f>
        <x:v>0</x:v>
      </x:c>
      <x:c r="F688" s="177" t="str">
        <x:f>IF(ABS(E688)&lt;0.000001,"PASS","FAIL")</x:f>
        <x:v>PASS</x:v>
      </x:c>
      <x:c r="G688" s="177" t="str">
        <x:v>组件数量×价格</x:v>
      </x:c>
      <x:c r="H688" s="184"/>
    </x:row>
    <x:row r="689">
      <x:c r="A689" s="177" t="str">
        <x:v>DYN-SPEC-REV-65</x:v>
      </x:c>
      <x:c r="B689" s="177" t="str">
        <x:v>cautious 2030 equipment 204.8T理论收入</x:v>
      </x:c>
      <x:c r="C689" s="230" t="n">
        <x:f>'规格明细'!L65</x:f>
        <x:v>11.280384000000003</x:v>
      </x:c>
      <x:c r="D689" s="230" t="n">
        <x:f>'规格明细'!K65*'规格明细'!J65</x:f>
        <x:v>11.280384000000003</x:v>
      </x:c>
      <x:c r="E689" s="230" t="n">
        <x:f>C689-D689</x:f>
        <x:v>0</x:v>
      </x:c>
      <x:c r="F689" s="177" t="str">
        <x:f>IF(ABS(E689)&lt;0.000001,"PASS","FAIL")</x:f>
        <x:v>PASS</x:v>
      </x:c>
      <x:c r="G689" s="177" t="str">
        <x:v>份额只乘一次</x:v>
      </x:c>
      <x:c r="H689" s="184"/>
    </x:row>
    <x:row r="690">
      <x:c r="A690" s="177" t="str">
        <x:v>DYN-SPEC-Q-71</x:v>
      </x:c>
      <x:c r="B690" s="177" t="str">
        <x:v>base 2026 pluggable-800g 800G数量</x:v>
      </x:c>
      <x:c r="C690" s="230" t="n">
        <x:f>'规格明细'!G71</x:f>
        <x:v>560000000</x:v>
      </x:c>
      <x:c r="D690" s="230" t="n">
        <x:f>'规格明细'!D71*10000*'规格明细'!E71</x:f>
        <x:v>560000000</x:v>
      </x:c>
      <x:c r="E690" s="230" t="n">
        <x:f>C690-D690</x:f>
        <x:v>0</x:v>
      </x:c>
      <x:c r="F690" s="177" t="str">
        <x:f>IF(ABS(E690)&lt;0.000001,"PASS","FAIL")</x:f>
        <x:v>PASS</x:v>
      </x:c>
      <x:c r="G690" s="177" t="str">
        <x:v>出货量×单位用量</x:v>
      </x:c>
      <x:c r="H690" s="184"/>
    </x:row>
    <x:row r="691">
      <x:c r="A691" s="177" t="str">
        <x:v>DYN-SPEC-TAM-71</x:v>
      </x:c>
      <x:c r="B691" s="177" t="str">
        <x:v>base 2026 pluggable-800g 800G空间</x:v>
      </x:c>
      <x:c r="C691" s="230" t="n">
        <x:f>'规格明细'!K71</x:f>
        <x:v>22.4</x:v>
      </x:c>
      <x:c r="D691" s="230" t="n">
        <x:f>'规格明细'!G71*'规格明细'!I71/100000000</x:f>
        <x:v>22.4</x:v>
      </x:c>
      <x:c r="E691" s="230" t="n">
        <x:f>C691-D691</x:f>
        <x:v>0</x:v>
      </x:c>
      <x:c r="F691" s="177" t="str">
        <x:f>IF(ABS(E691)&lt;0.000001,"PASS","FAIL")</x:f>
        <x:v>PASS</x:v>
      </x:c>
      <x:c r="G691" s="177" t="str">
        <x:v>组件数量×价格</x:v>
      </x:c>
      <x:c r="H691" s="184"/>
    </x:row>
    <x:row r="692">
      <x:c r="A692" s="177" t="str">
        <x:v>DYN-SPEC-REV-71</x:v>
      </x:c>
      <x:c r="B692" s="177" t="str">
        <x:v>base 2026 pluggable-800g 800G理论收入</x:v>
      </x:c>
      <x:c r="C692" s="230" t="n">
        <x:f>'规格明细'!L71</x:f>
        <x:v>0.8959999999999999</x:v>
      </x:c>
      <x:c r="D692" s="230" t="n">
        <x:f>'规格明细'!K71*'规格明细'!J71</x:f>
        <x:v>0.8959999999999999</x:v>
      </x:c>
      <x:c r="E692" s="230" t="n">
        <x:f>C692-D692</x:f>
        <x:v>0</x:v>
      </x:c>
      <x:c r="F692" s="177" t="str">
        <x:f>IF(ABS(E692)&lt;0.000001,"PASS","FAIL")</x:f>
        <x:v>PASS</x:v>
      </x:c>
      <x:c r="G692" s="177" t="str">
        <x:v>份额只乘一次</x:v>
      </x:c>
      <x:c r="H692" s="184"/>
    </x:row>
    <x:row r="693">
      <x:c r="A693" s="177" t="str">
        <x:v>DYN-SPEC-Q-72</x:v>
      </x:c>
      <x:c r="B693" s="177" t="str">
        <x:v>base 2026 pluggable-1p6t 1.6T数量</x:v>
      </x:c>
      <x:c r="C693" s="230" t="n">
        <x:f>'规格明细'!G72</x:f>
        <x:v>188000000</x:v>
      </x:c>
      <x:c r="D693" s="230" t="n">
        <x:f>'规格明细'!D72*10000*'规格明细'!E72</x:f>
        <x:v>188000000</x:v>
      </x:c>
      <x:c r="E693" s="230" t="n">
        <x:f>C693-D693</x:f>
        <x:v>0</x:v>
      </x:c>
      <x:c r="F693" s="177" t="str">
        <x:f>IF(ABS(E693)&lt;0.000001,"PASS","FAIL")</x:f>
        <x:v>PASS</x:v>
      </x:c>
      <x:c r="G693" s="177" t="str">
        <x:v>出货量×单位用量</x:v>
      </x:c>
      <x:c r="H693" s="184"/>
    </x:row>
    <x:row r="694">
      <x:c r="A694" s="177" t="str">
        <x:v>DYN-SPEC-TAM-72</x:v>
      </x:c>
      <x:c r="B694" s="177" t="str">
        <x:v>base 2026 pluggable-1p6t 1.6T空间</x:v>
      </x:c>
      <x:c r="C694" s="230" t="n">
        <x:f>'规格明细'!K72</x:f>
        <x:v>10.527999999999999</x:v>
      </x:c>
      <x:c r="D694" s="230" t="n">
        <x:f>'规格明细'!G72*'规格明细'!I72/100000000</x:f>
        <x:v>10.527999999999999</x:v>
      </x:c>
      <x:c r="E694" s="230" t="n">
        <x:f>C694-D694</x:f>
        <x:v>0</x:v>
      </x:c>
      <x:c r="F694" s="177" t="str">
        <x:f>IF(ABS(E694)&lt;0.000001,"PASS","FAIL")</x:f>
        <x:v>PASS</x:v>
      </x:c>
      <x:c r="G694" s="177" t="str">
        <x:v>组件数量×价格</x:v>
      </x:c>
      <x:c r="H694" s="184"/>
    </x:row>
    <x:row r="695">
      <x:c r="A695" s="177" t="str">
        <x:v>DYN-SPEC-REV-72</x:v>
      </x:c>
      <x:c r="B695" s="177" t="str">
        <x:v>base 2026 pluggable-1p6t 1.6T理论收入</x:v>
      </x:c>
      <x:c r="C695" s="230" t="n">
        <x:f>'规格明细'!L72</x:f>
        <x:v>0.42111999999999994</x:v>
      </x:c>
      <x:c r="D695" s="230" t="n">
        <x:f>'规格明细'!K72*'规格明细'!J72</x:f>
        <x:v>0.42111999999999994</x:v>
      </x:c>
      <x:c r="E695" s="230" t="n">
        <x:f>C695-D695</x:f>
        <x:v>0</x:v>
      </x:c>
      <x:c r="F695" s="177" t="str">
        <x:f>IF(ABS(E695)&lt;0.000001,"PASS","FAIL")</x:f>
        <x:v>PASS</x:v>
      </x:c>
      <x:c r="G695" s="177" t="str">
        <x:v>份额只乘一次</x:v>
      </x:c>
      <x:c r="H695" s="184"/>
    </x:row>
    <x:row r="696">
      <x:c r="A696" s="177" t="str">
        <x:v>DYN-SPEC-Q-73</x:v>
      </x:c>
      <x:c r="B696" s="177" t="str">
        <x:v>base 2026 ocs 小端口参考系统数量</x:v>
      </x:c>
      <x:c r="C696" s="230" t="n">
        <x:f>'规格明细'!G73</x:f>
        <x:v>3840000</x:v>
      </x:c>
      <x:c r="D696" s="230" t="n">
        <x:f>'规格明细'!D73*10000*'规格明细'!E73</x:f>
        <x:v>3840000</x:v>
      </x:c>
      <x:c r="E696" s="230" t="n">
        <x:f>C696-D696</x:f>
        <x:v>0</x:v>
      </x:c>
      <x:c r="F696" s="177" t="str">
        <x:f>IF(ABS(E696)&lt;0.000001,"PASS","FAIL")</x:f>
        <x:v>PASS</x:v>
      </x:c>
      <x:c r="G696" s="177" t="str">
        <x:v>出货量×单位用量</x:v>
      </x:c>
      <x:c r="H696" s="184"/>
    </x:row>
    <x:row r="697">
      <x:c r="A697" s="177" t="str">
        <x:v>DYN-SPEC-TAM-73</x:v>
      </x:c>
      <x:c r="B697" s="177" t="str">
        <x:v>base 2026 ocs 小端口参考系统空间</x:v>
      </x:c>
      <x:c r="C697" s="230" t="n">
        <x:f>'规格明细'!K73</x:f>
        <x:v>0.768</x:v>
      </x:c>
      <x:c r="D697" s="230" t="n">
        <x:f>'规格明细'!G73*'规格明细'!I73/100000000</x:f>
        <x:v>0.768</x:v>
      </x:c>
      <x:c r="E697" s="230" t="n">
        <x:f>C697-D697</x:f>
        <x:v>0</x:v>
      </x:c>
      <x:c r="F697" s="177" t="str">
        <x:f>IF(ABS(E697)&lt;0.000001,"PASS","FAIL")</x:f>
        <x:v>PASS</x:v>
      </x:c>
      <x:c r="G697" s="177" t="str">
        <x:v>组件数量×价格</x:v>
      </x:c>
      <x:c r="H697" s="184"/>
    </x:row>
    <x:row r="698">
      <x:c r="A698" s="177" t="str">
        <x:v>DYN-SPEC-REV-73</x:v>
      </x:c>
      <x:c r="B698" s="177" t="str">
        <x:v>base 2026 ocs 小端口参考系统理论收入</x:v>
      </x:c>
      <x:c r="C698" s="230" t="n">
        <x:f>'规格明细'!L73</x:f>
        <x:v>0.6912</x:v>
      </x:c>
      <x:c r="D698" s="230" t="n">
        <x:f>'规格明细'!K73*'规格明细'!J73</x:f>
        <x:v>0.6912</x:v>
      </x:c>
      <x:c r="E698" s="230" t="n">
        <x:f>C698-D698</x:f>
        <x:v>0</x:v>
      </x:c>
      <x:c r="F698" s="177" t="str">
        <x:f>IF(ABS(E698)&lt;0.000001,"PASS","FAIL")</x:f>
        <x:v>PASS</x:v>
      </x:c>
      <x:c r="G698" s="177" t="str">
        <x:v>份额只乘一次</x:v>
      </x:c>
      <x:c r="H698" s="184"/>
    </x:row>
    <x:row r="699">
      <x:c r="A699" s="177" t="str">
        <x:v>DYN-SPEC-Q-74</x:v>
      </x:c>
      <x:c r="B699" s="177" t="str">
        <x:v>base 2026 ocs 大端口320×320数量</x:v>
      </x:c>
      <x:c r="C699" s="230" t="n">
        <x:f>'规格明细'!G74</x:f>
        <x:v>3200000</x:v>
      </x:c>
      <x:c r="D699" s="230" t="n">
        <x:f>'规格明细'!D74*10000*'规格明细'!E74</x:f>
        <x:v>3200000</x:v>
      </x:c>
      <x:c r="E699" s="230" t="n">
        <x:f>C699-D699</x:f>
        <x:v>0</x:v>
      </x:c>
      <x:c r="F699" s="177" t="str">
        <x:f>IF(ABS(E699)&lt;0.000001,"PASS","FAIL")</x:f>
        <x:v>PASS</x:v>
      </x:c>
      <x:c r="G699" s="177" t="str">
        <x:v>出货量×单位用量</x:v>
      </x:c>
      <x:c r="H699" s="184"/>
    </x:row>
    <x:row r="700">
      <x:c r="A700" s="177" t="str">
        <x:v>DYN-SPEC-TAM-74</x:v>
      </x:c>
      <x:c r="B700" s="177" t="str">
        <x:v>base 2026 ocs 大端口320×320空间</x:v>
      </x:c>
      <x:c r="C700" s="230" t="n">
        <x:f>'规格明细'!K74</x:f>
        <x:v>1.28</x:v>
      </x:c>
      <x:c r="D700" s="230" t="n">
        <x:f>'规格明细'!G74*'规格明细'!I74/100000000</x:f>
        <x:v>1.28</x:v>
      </x:c>
      <x:c r="E700" s="230" t="n">
        <x:f>C700-D700</x:f>
        <x:v>0</x:v>
      </x:c>
      <x:c r="F700" s="177" t="str">
        <x:f>IF(ABS(E700)&lt;0.000001,"PASS","FAIL")</x:f>
        <x:v>PASS</x:v>
      </x:c>
      <x:c r="G700" s="177" t="str">
        <x:v>组件数量×价格</x:v>
      </x:c>
      <x:c r="H700" s="184"/>
    </x:row>
    <x:row r="701">
      <x:c r="A701" s="177" t="str">
        <x:v>DYN-SPEC-REV-74</x:v>
      </x:c>
      <x:c r="B701" s="177" t="str">
        <x:v>base 2026 ocs 大端口320×320理论收入</x:v>
      </x:c>
      <x:c r="C701" s="230" t="n">
        <x:f>'规格明细'!L74</x:f>
        <x:v>1.2160000000000002</x:v>
      </x:c>
      <x:c r="D701" s="230" t="n">
        <x:f>'规格明细'!K74*'规格明细'!J74</x:f>
        <x:v>1.2160000000000002</x:v>
      </x:c>
      <x:c r="E701" s="230" t="n">
        <x:f>C701-D701</x:f>
        <x:v>0</x:v>
      </x:c>
      <x:c r="F701" s="177" t="str">
        <x:f>IF(ABS(E701)&lt;0.000001,"PASS","FAIL")</x:f>
        <x:v>PASS</x:v>
      </x:c>
      <x:c r="G701" s="177" t="str">
        <x:v>份额只乘一次</x:v>
      </x:c>
      <x:c r="H701" s="184"/>
    </x:row>
    <x:row r="702">
      <x:c r="A702" s="177" t="str">
        <x:v>DYN-SPEC-Q-75</x:v>
      </x:c>
      <x:c r="B702" s="177" t="str">
        <x:v>base 2026 vGroove 102.4T数量</x:v>
      </x:c>
      <x:c r="C702" s="230" t="n">
        <x:f>'规格明细'!G75</x:f>
        <x:v>23040000</x:v>
      </x:c>
      <x:c r="D702" s="230" t="n">
        <x:f>'规格明细'!D75*10000*'规格明细'!E75</x:f>
        <x:v>23040000</x:v>
      </x:c>
      <x:c r="E702" s="230" t="n">
        <x:f>C702-D702</x:f>
        <x:v>0</x:v>
      </x:c>
      <x:c r="F702" s="177" t="str">
        <x:f>IF(ABS(E702)&lt;0.000001,"PASS","FAIL")</x:f>
        <x:v>PASS</x:v>
      </x:c>
      <x:c r="G702" s="177" t="str">
        <x:v>出货量×单位用量</x:v>
      </x:c>
      <x:c r="H702" s="184"/>
    </x:row>
    <x:row r="703">
      <x:c r="A703" s="177" t="str">
        <x:v>DYN-SPEC-TAM-75</x:v>
      </x:c>
      <x:c r="B703" s="177" t="str">
        <x:v>base 2026 vGroove 102.4T空间</x:v>
      </x:c>
      <x:c r="C703" s="230" t="n">
        <x:f>'规格明细'!K75</x:f>
        <x:v>2.0643839999999996</x:v>
      </x:c>
      <x:c r="D703" s="230" t="n">
        <x:f>'规格明细'!G75*'规格明细'!I75/100000000</x:f>
        <x:v>2.0643839999999996</x:v>
      </x:c>
      <x:c r="E703" s="230" t="n">
        <x:f>C703-D703</x:f>
        <x:v>0</x:v>
      </x:c>
      <x:c r="F703" s="177" t="str">
        <x:f>IF(ABS(E703)&lt;0.000001,"PASS","FAIL")</x:f>
        <x:v>PASS</x:v>
      </x:c>
      <x:c r="G703" s="177" t="str">
        <x:v>组件数量×价格</x:v>
      </x:c>
      <x:c r="H703" s="184"/>
    </x:row>
    <x:row r="704">
      <x:c r="A704" s="177" t="str">
        <x:v>DYN-SPEC-REV-75</x:v>
      </x:c>
      <x:c r="B704" s="177" t="str">
        <x:v>base 2026 vGroove 102.4T理论收入</x:v>
      </x:c>
      <x:c r="C704" s="230" t="n">
        <x:f>'规格明细'!L75</x:f>
        <x:v>0.9289727999999998</x:v>
      </x:c>
      <x:c r="D704" s="230" t="n">
        <x:f>'规格明细'!K75*'规格明细'!J75</x:f>
        <x:v>0.9289727999999998</x:v>
      </x:c>
      <x:c r="E704" s="230" t="n">
        <x:f>C704-D704</x:f>
        <x:v>0</x:v>
      </x:c>
      <x:c r="F704" s="177" t="str">
        <x:f>IF(ABS(E704)&lt;0.000001,"PASS","FAIL")</x:f>
        <x:v>PASS</x:v>
      </x:c>
      <x:c r="G704" s="177" t="str">
        <x:v>份额只乘一次</x:v>
      </x:c>
      <x:c r="H704" s="184"/>
    </x:row>
    <x:row r="705">
      <x:c r="A705" s="177" t="str">
        <x:v>DYN-SPEC-Q-76</x:v>
      </x:c>
      <x:c r="B705" s="177" t="str">
        <x:v>base 2026 vGroove 204.8T数量</x:v>
      </x:c>
      <x:c r="C705" s="230" t="n">
        <x:f>'规格明细'!G76</x:f>
        <x:v>0</x:v>
      </x:c>
      <x:c r="D705" s="230" t="n">
        <x:f>'规格明细'!D76*10000*'规格明细'!E76</x:f>
        <x:v>0</x:v>
      </x:c>
      <x:c r="E705" s="230" t="n">
        <x:f>C705-D705</x:f>
        <x:v>0</x:v>
      </x:c>
      <x:c r="F705" s="177" t="str">
        <x:f>IF(ABS(E705)&lt;0.000001,"PASS","FAIL")</x:f>
        <x:v>PASS</x:v>
      </x:c>
      <x:c r="G705" s="177" t="str">
        <x:v>出货量×单位用量</x:v>
      </x:c>
      <x:c r="H705" s="184"/>
    </x:row>
    <x:row r="706">
      <x:c r="A706" s="177" t="str">
        <x:v>DYN-SPEC-TAM-76</x:v>
      </x:c>
      <x:c r="B706" s="177" t="str">
        <x:v>base 2026 vGroove 204.8T空间</x:v>
      </x:c>
      <x:c r="C706" s="230" t="n">
        <x:f>'规格明细'!K76</x:f>
        <x:v>0</x:v>
      </x:c>
      <x:c r="D706" s="230" t="n">
        <x:f>'规格明细'!G76*'规格明细'!I76/100000000</x:f>
        <x:v>0</x:v>
      </x:c>
      <x:c r="E706" s="230" t="n">
        <x:f>C706-D706</x:f>
        <x:v>0</x:v>
      </x:c>
      <x:c r="F706" s="177" t="str">
        <x:f>IF(ABS(E706)&lt;0.000001,"PASS","FAIL")</x:f>
        <x:v>PASS</x:v>
      </x:c>
      <x:c r="G706" s="177" t="str">
        <x:v>组件数量×价格</x:v>
      </x:c>
      <x:c r="H706" s="184"/>
    </x:row>
    <x:row r="707">
      <x:c r="A707" s="177" t="str">
        <x:v>DYN-SPEC-REV-76</x:v>
      </x:c>
      <x:c r="B707" s="177" t="str">
        <x:v>base 2026 vGroove 204.8T理论收入</x:v>
      </x:c>
      <x:c r="C707" s="230" t="n">
        <x:f>'规格明细'!L76</x:f>
        <x:v>0</x:v>
      </x:c>
      <x:c r="D707" s="230" t="n">
        <x:f>'规格明细'!K76*'规格明细'!J76</x:f>
        <x:v>0</x:v>
      </x:c>
      <x:c r="E707" s="230" t="n">
        <x:f>C707-D707</x:f>
        <x:v>0</x:v>
      </x:c>
      <x:c r="F707" s="177" t="str">
        <x:f>IF(ABS(E707)&lt;0.000001,"PASS","FAIL")</x:f>
        <x:v>PASS</x:v>
      </x:c>
      <x:c r="G707" s="177" t="str">
        <x:v>份额只乘一次</x:v>
      </x:c>
      <x:c r="H707" s="184"/>
    </x:row>
    <x:row r="708">
      <x:c r="A708" s="177" t="str">
        <x:v>DYN-SPEC-Q-77</x:v>
      </x:c>
      <x:c r="B708" s="177" t="str">
        <x:v>base 2026 fauPrism 102.4T数量</x:v>
      </x:c>
      <x:c r="C708" s="230" t="n">
        <x:f>'规格明细'!G77</x:f>
        <x:v>23040000</x:v>
      </x:c>
      <x:c r="D708" s="230" t="n">
        <x:f>'规格明细'!D77*10000*'规格明细'!E77</x:f>
        <x:v>23040000</x:v>
      </x:c>
      <x:c r="E708" s="230" t="n">
        <x:f>C708-D708</x:f>
        <x:v>0</x:v>
      </x:c>
      <x:c r="F708" s="177" t="str">
        <x:f>IF(ABS(E708)&lt;0.000001,"PASS","FAIL")</x:f>
        <x:v>PASS</x:v>
      </x:c>
      <x:c r="G708" s="177" t="str">
        <x:v>出货量×单位用量</x:v>
      </x:c>
      <x:c r="H708" s="184"/>
    </x:row>
    <x:row r="709">
      <x:c r="A709" s="177" t="str">
        <x:v>DYN-SPEC-TAM-77</x:v>
      </x:c>
      <x:c r="B709" s="177" t="str">
        <x:v>base 2026 fauPrism 102.4T空间</x:v>
      </x:c>
      <x:c r="C709" s="230" t="n">
        <x:f>'规格明细'!K77</x:f>
        <x:v>2.94912</x:v>
      </x:c>
      <x:c r="D709" s="230" t="n">
        <x:f>'规格明细'!G77*'规格明细'!I77/100000000</x:f>
        <x:v>2.94912</x:v>
      </x:c>
      <x:c r="E709" s="230" t="n">
        <x:f>C709-D709</x:f>
        <x:v>0</x:v>
      </x:c>
      <x:c r="F709" s="177" t="str">
        <x:f>IF(ABS(E709)&lt;0.000001,"PASS","FAIL")</x:f>
        <x:v>PASS</x:v>
      </x:c>
      <x:c r="G709" s="177" t="str">
        <x:v>组件数量×价格</x:v>
      </x:c>
      <x:c r="H709" s="184"/>
    </x:row>
    <x:row r="710">
      <x:c r="A710" s="177" t="str">
        <x:v>DYN-SPEC-REV-77</x:v>
      </x:c>
      <x:c r="B710" s="177" t="str">
        <x:v>base 2026 fauPrism 102.4T理论收入</x:v>
      </x:c>
      <x:c r="C710" s="230" t="n">
        <x:f>'规格明细'!L77</x:f>
        <x:v>1.327104</x:v>
      </x:c>
      <x:c r="D710" s="230" t="n">
        <x:f>'规格明细'!K77*'规格明细'!J77</x:f>
        <x:v>1.327104</x:v>
      </x:c>
      <x:c r="E710" s="230" t="n">
        <x:f>C710-D710</x:f>
        <x:v>0</x:v>
      </x:c>
      <x:c r="F710" s="177" t="str">
        <x:f>IF(ABS(E710)&lt;0.000001,"PASS","FAIL")</x:f>
        <x:v>PASS</x:v>
      </x:c>
      <x:c r="G710" s="177" t="str">
        <x:v>份额只乘一次</x:v>
      </x:c>
      <x:c r="H710" s="184"/>
    </x:row>
    <x:row r="711">
      <x:c r="A711" s="177" t="str">
        <x:v>DYN-SPEC-Q-78</x:v>
      </x:c>
      <x:c r="B711" s="177" t="str">
        <x:v>base 2026 fauPrism 204.8T数量</x:v>
      </x:c>
      <x:c r="C711" s="230" t="n">
        <x:f>'规格明细'!G78</x:f>
        <x:v>0</x:v>
      </x:c>
      <x:c r="D711" s="230" t="n">
        <x:f>'规格明细'!D78*10000*'规格明细'!E78</x:f>
        <x:v>0</x:v>
      </x:c>
      <x:c r="E711" s="230" t="n">
        <x:f>C711-D711</x:f>
        <x:v>0</x:v>
      </x:c>
      <x:c r="F711" s="177" t="str">
        <x:f>IF(ABS(E711)&lt;0.000001,"PASS","FAIL")</x:f>
        <x:v>PASS</x:v>
      </x:c>
      <x:c r="G711" s="177" t="str">
        <x:v>出货量×单位用量</x:v>
      </x:c>
      <x:c r="H711" s="184"/>
    </x:row>
    <x:row r="712">
      <x:c r="A712" s="177" t="str">
        <x:v>DYN-SPEC-TAM-78</x:v>
      </x:c>
      <x:c r="B712" s="177" t="str">
        <x:v>base 2026 fauPrism 204.8T空间</x:v>
      </x:c>
      <x:c r="C712" s="230" t="n">
        <x:f>'规格明细'!K78</x:f>
        <x:v>0</x:v>
      </x:c>
      <x:c r="D712" s="230" t="n">
        <x:f>'规格明细'!G78*'规格明细'!I78/100000000</x:f>
        <x:v>0</x:v>
      </x:c>
      <x:c r="E712" s="230" t="n">
        <x:f>C712-D712</x:f>
        <x:v>0</x:v>
      </x:c>
      <x:c r="F712" s="177" t="str">
        <x:f>IF(ABS(E712)&lt;0.000001,"PASS","FAIL")</x:f>
        <x:v>PASS</x:v>
      </x:c>
      <x:c r="G712" s="177" t="str">
        <x:v>组件数量×价格</x:v>
      </x:c>
      <x:c r="H712" s="184"/>
    </x:row>
    <x:row r="713">
      <x:c r="A713" s="177" t="str">
        <x:v>DYN-SPEC-REV-78</x:v>
      </x:c>
      <x:c r="B713" s="177" t="str">
        <x:v>base 2026 fauPrism 204.8T理论收入</x:v>
      </x:c>
      <x:c r="C713" s="230" t="n">
        <x:f>'规格明细'!L78</x:f>
        <x:v>0</x:v>
      </x:c>
      <x:c r="D713" s="230" t="n">
        <x:f>'规格明细'!K78*'规格明细'!J78</x:f>
        <x:v>0</x:v>
      </x:c>
      <x:c r="E713" s="230" t="n">
        <x:f>C713-D713</x:f>
        <x:v>0</x:v>
      </x:c>
      <x:c r="F713" s="177" t="str">
        <x:f>IF(ABS(E713)&lt;0.000001,"PASS","FAIL")</x:f>
        <x:v>PASS</x:v>
      </x:c>
      <x:c r="G713" s="177" t="str">
        <x:v>份额只乘一次</x:v>
      </x:c>
      <x:c r="H713" s="184"/>
    </x:row>
    <x:row r="714">
      <x:c r="A714" s="177" t="str">
        <x:v>DYN-SPEC-Q-79</x:v>
      </x:c>
      <x:c r="B714" s="177" t="str">
        <x:v>base 2026 externalLaser 102.4T数量</x:v>
      </x:c>
      <x:c r="C714" s="230" t="n">
        <x:f>'规格明细'!G79</x:f>
        <x:v>2560000</x:v>
      </x:c>
      <x:c r="D714" s="230" t="n">
        <x:f>'规格明细'!D79*10000*'规格明细'!E79</x:f>
        <x:v>2560000</x:v>
      </x:c>
      <x:c r="E714" s="230" t="n">
        <x:f>C714-D714</x:f>
        <x:v>0</x:v>
      </x:c>
      <x:c r="F714" s="177" t="str">
        <x:f>IF(ABS(E714)&lt;0.000001,"PASS","FAIL")</x:f>
        <x:v>PASS</x:v>
      </x:c>
      <x:c r="G714" s="177" t="str">
        <x:v>出货量×单位用量</x:v>
      </x:c>
      <x:c r="H714" s="184"/>
    </x:row>
    <x:row r="715">
      <x:c r="A715" s="177" t="str">
        <x:v>DYN-SPEC-TAM-79</x:v>
      </x:c>
      <x:c r="B715" s="177" t="str">
        <x:v>base 2026 externalLaser 102.4T空间</x:v>
      </x:c>
      <x:c r="C715" s="230" t="n">
        <x:f>'规格明细'!K79</x:f>
        <x:v>1.6384</x:v>
      </x:c>
      <x:c r="D715" s="230" t="n">
        <x:f>'规格明细'!G79*'规格明细'!I79/100000000</x:f>
        <x:v>1.6384</x:v>
      </x:c>
      <x:c r="E715" s="230" t="n">
        <x:f>C715-D715</x:f>
        <x:v>0</x:v>
      </x:c>
      <x:c r="F715" s="177" t="str">
        <x:f>IF(ABS(E715)&lt;0.000001,"PASS","FAIL")</x:f>
        <x:v>PASS</x:v>
      </x:c>
      <x:c r="G715" s="177" t="str">
        <x:v>组件数量×价格</x:v>
      </x:c>
      <x:c r="H715" s="184"/>
    </x:row>
    <x:row r="716">
      <x:c r="A716" s="177" t="str">
        <x:v>DYN-SPEC-REV-79</x:v>
      </x:c>
      <x:c r="B716" s="177" t="str">
        <x:v>base 2026 externalLaser 102.4T理论收入</x:v>
      </x:c>
      <x:c r="C716" s="230" t="n">
        <x:f>'规格明细'!L79</x:f>
        <x:v>0.73728</x:v>
      </x:c>
      <x:c r="D716" s="230" t="n">
        <x:f>'规格明细'!K79*'规格明细'!J79</x:f>
        <x:v>0.73728</x:v>
      </x:c>
      <x:c r="E716" s="230" t="n">
        <x:f>C716-D716</x:f>
        <x:v>0</x:v>
      </x:c>
      <x:c r="F716" s="177" t="str">
        <x:f>IF(ABS(E716)&lt;0.000001,"PASS","FAIL")</x:f>
        <x:v>PASS</x:v>
      </x:c>
      <x:c r="G716" s="177" t="str">
        <x:v>份额只乘一次</x:v>
      </x:c>
      <x:c r="H716" s="184"/>
    </x:row>
    <x:row r="717">
      <x:c r="A717" s="177" t="str">
        <x:v>DYN-SPEC-Q-80</x:v>
      </x:c>
      <x:c r="B717" s="177" t="str">
        <x:v>base 2026 externalLaser 204.8T数量</x:v>
      </x:c>
      <x:c r="C717" s="230" t="n">
        <x:f>'规格明细'!G80</x:f>
        <x:v>0</x:v>
      </x:c>
      <x:c r="D717" s="230" t="n">
        <x:f>'规格明细'!D80*10000*'规格明细'!E80</x:f>
        <x:v>0</x:v>
      </x:c>
      <x:c r="E717" s="230" t="n">
        <x:f>C717-D717</x:f>
        <x:v>0</x:v>
      </x:c>
      <x:c r="F717" s="177" t="str">
        <x:f>IF(ABS(E717)&lt;0.000001,"PASS","FAIL")</x:f>
        <x:v>PASS</x:v>
      </x:c>
      <x:c r="G717" s="177" t="str">
        <x:v>出货量×单位用量</x:v>
      </x:c>
      <x:c r="H717" s="184"/>
    </x:row>
    <x:row r="718">
      <x:c r="A718" s="177" t="str">
        <x:v>DYN-SPEC-TAM-80</x:v>
      </x:c>
      <x:c r="B718" s="177" t="str">
        <x:v>base 2026 externalLaser 204.8T空间</x:v>
      </x:c>
      <x:c r="C718" s="230" t="n">
        <x:f>'规格明细'!K80</x:f>
        <x:v>0</x:v>
      </x:c>
      <x:c r="D718" s="230" t="n">
        <x:f>'规格明细'!G80*'规格明细'!I80/100000000</x:f>
        <x:v>0</x:v>
      </x:c>
      <x:c r="E718" s="230" t="n">
        <x:f>C718-D718</x:f>
        <x:v>0</x:v>
      </x:c>
      <x:c r="F718" s="177" t="str">
        <x:f>IF(ABS(E718)&lt;0.000001,"PASS","FAIL")</x:f>
        <x:v>PASS</x:v>
      </x:c>
      <x:c r="G718" s="177" t="str">
        <x:v>组件数量×价格</x:v>
      </x:c>
      <x:c r="H718" s="184"/>
    </x:row>
    <x:row r="719">
      <x:c r="A719" s="177" t="str">
        <x:v>DYN-SPEC-REV-80</x:v>
      </x:c>
      <x:c r="B719" s="177" t="str">
        <x:v>base 2026 externalLaser 204.8T理论收入</x:v>
      </x:c>
      <x:c r="C719" s="230" t="n">
        <x:f>'规格明细'!L80</x:f>
        <x:v>0</x:v>
      </x:c>
      <x:c r="D719" s="230" t="n">
        <x:f>'规格明细'!K80*'规格明细'!J80</x:f>
        <x:v>0</x:v>
      </x:c>
      <x:c r="E719" s="230" t="n">
        <x:f>C719-D719</x:f>
        <x:v>0</x:v>
      </x:c>
      <x:c r="F719" s="177" t="str">
        <x:f>IF(ABS(E719)&lt;0.000001,"PASS","FAIL")</x:f>
        <x:v>PASS</x:v>
      </x:c>
      <x:c r="G719" s="177" t="str">
        <x:v>份额只乘一次</x:v>
      </x:c>
      <x:c r="H719" s="184"/>
    </x:row>
    <x:row r="720">
      <x:c r="A720" s="177" t="str">
        <x:v>DYN-SPEC-Q-81</x:v>
      </x:c>
      <x:c r="B720" s="177" t="str">
        <x:v>base 2026 equipment 102.4T数量</x:v>
      </x:c>
      <x:c r="C720" s="230" t="n">
        <x:f>'规格明细'!G81</x:f>
        <x:v>640</x:v>
      </x:c>
      <x:c r="D720" s="230" t="n">
        <x:f>'规格明细'!D81*10000*'规格明细'!E81</x:f>
        <x:v>640</x:v>
      </x:c>
      <x:c r="E720" s="230" t="n">
        <x:f>C720-D720</x:f>
        <x:v>0</x:v>
      </x:c>
      <x:c r="F720" s="177" t="str">
        <x:f>IF(ABS(E720)&lt;0.000001,"PASS","FAIL")</x:f>
        <x:v>PASS</x:v>
      </x:c>
      <x:c r="G720" s="177" t="str">
        <x:v>出货量×单位用量</x:v>
      </x:c>
      <x:c r="H720" s="184"/>
    </x:row>
    <x:row r="721">
      <x:c r="A721" s="177" t="str">
        <x:v>DYN-SPEC-TAM-81</x:v>
      </x:c>
      <x:c r="B721" s="177" t="str">
        <x:v>base 2026 equipment 102.4T空间</x:v>
      </x:c>
      <x:c r="C721" s="230" t="n">
        <x:f>'规格明细'!K81</x:f>
        <x:v>0.4096</x:v>
      </x:c>
      <x:c r="D721" s="230" t="n">
        <x:f>'规格明细'!G81*'规格明细'!I81/100000000</x:f>
        <x:v>0.4096</x:v>
      </x:c>
      <x:c r="E721" s="230" t="n">
        <x:f>C721-D721</x:f>
        <x:v>0</x:v>
      </x:c>
      <x:c r="F721" s="177" t="str">
        <x:f>IF(ABS(E721)&lt;0.000001,"PASS","FAIL")</x:f>
        <x:v>PASS</x:v>
      </x:c>
      <x:c r="G721" s="177" t="str">
        <x:v>组件数量×价格</x:v>
      </x:c>
      <x:c r="H721" s="184"/>
    </x:row>
    <x:row r="722">
      <x:c r="A722" s="177" t="str">
        <x:v>DYN-SPEC-REV-81</x:v>
      </x:c>
      <x:c r="B722" s="177" t="str">
        <x:v>base 2026 equipment 102.4T理论收入</x:v>
      </x:c>
      <x:c r="C722" s="230" t="n">
        <x:f>'规格明细'!L81</x:f>
        <x:v>0.04096</x:v>
      </x:c>
      <x:c r="D722" s="230" t="n">
        <x:f>'规格明细'!K81*'规格明细'!J81</x:f>
        <x:v>0.04096</x:v>
      </x:c>
      <x:c r="E722" s="230" t="n">
        <x:f>C722-D722</x:f>
        <x:v>0</x:v>
      </x:c>
      <x:c r="F722" s="177" t="str">
        <x:f>IF(ABS(E722)&lt;0.000001,"PASS","FAIL")</x:f>
        <x:v>PASS</x:v>
      </x:c>
      <x:c r="G722" s="177" t="str">
        <x:v>份额只乘一次</x:v>
      </x:c>
      <x:c r="H722" s="184"/>
    </x:row>
    <x:row r="723">
      <x:c r="A723" s="177" t="str">
        <x:v>DYN-SPEC-Q-82</x:v>
      </x:c>
      <x:c r="B723" s="177" t="str">
        <x:v>base 2026 equipment 204.8T数量</x:v>
      </x:c>
      <x:c r="C723" s="230" t="n">
        <x:f>'规格明细'!G82</x:f>
        <x:v>0</x:v>
      </x:c>
      <x:c r="D723" s="230" t="n">
        <x:f>'规格明细'!D82*10000*'规格明细'!E82</x:f>
        <x:v>0</x:v>
      </x:c>
      <x:c r="E723" s="230" t="n">
        <x:f>C723-D723</x:f>
        <x:v>0</x:v>
      </x:c>
      <x:c r="F723" s="177" t="str">
        <x:f>IF(ABS(E723)&lt;0.000001,"PASS","FAIL")</x:f>
        <x:v>PASS</x:v>
      </x:c>
      <x:c r="G723" s="177" t="str">
        <x:v>出货量×单位用量</x:v>
      </x:c>
      <x:c r="H723" s="184"/>
    </x:row>
    <x:row r="724">
      <x:c r="A724" s="177" t="str">
        <x:v>DYN-SPEC-TAM-82</x:v>
      </x:c>
      <x:c r="B724" s="177" t="str">
        <x:v>base 2026 equipment 204.8T空间</x:v>
      </x:c>
      <x:c r="C724" s="230" t="n">
        <x:f>'规格明细'!K82</x:f>
        <x:v>0</x:v>
      </x:c>
      <x:c r="D724" s="230" t="n">
        <x:f>'规格明细'!G82*'规格明细'!I82/100000000</x:f>
        <x:v>0</x:v>
      </x:c>
      <x:c r="E724" s="230" t="n">
        <x:f>C724-D724</x:f>
        <x:v>0</x:v>
      </x:c>
      <x:c r="F724" s="177" t="str">
        <x:f>IF(ABS(E724)&lt;0.000001,"PASS","FAIL")</x:f>
        <x:v>PASS</x:v>
      </x:c>
      <x:c r="G724" s="177" t="str">
        <x:v>组件数量×价格</x:v>
      </x:c>
      <x:c r="H724" s="184"/>
    </x:row>
    <x:row r="725">
      <x:c r="A725" s="177" t="str">
        <x:v>DYN-SPEC-REV-82</x:v>
      </x:c>
      <x:c r="B725" s="177" t="str">
        <x:v>base 2026 equipment 204.8T理论收入</x:v>
      </x:c>
      <x:c r="C725" s="230" t="n">
        <x:f>'规格明细'!L82</x:f>
        <x:v>0</x:v>
      </x:c>
      <x:c r="D725" s="230" t="n">
        <x:f>'规格明细'!K82*'规格明细'!J82</x:f>
        <x:v>0</x:v>
      </x:c>
      <x:c r="E725" s="230" t="n">
        <x:f>C725-D725</x:f>
        <x:v>0</x:v>
      </x:c>
      <x:c r="F725" s="177" t="str">
        <x:f>IF(ABS(E725)&lt;0.000001,"PASS","FAIL")</x:f>
        <x:v>PASS</x:v>
      </x:c>
      <x:c r="G725" s="177" t="str">
        <x:v>份额只乘一次</x:v>
      </x:c>
      <x:c r="H725" s="184"/>
    </x:row>
    <x:row r="726">
      <x:c r="A726" s="177" t="str">
        <x:v>DYN-SPEC-Q-83</x:v>
      </x:c>
      <x:c r="B726" s="177" t="str">
        <x:v>base 2027 pluggable-800g 800G数量</x:v>
      </x:c>
      <x:c r="C726" s="230" t="n">
        <x:f>'规格明细'!G83</x:f>
        <x:v>725000000</x:v>
      </x:c>
      <x:c r="D726" s="230" t="n">
        <x:f>'规格明细'!D83*10000*'规格明细'!E83</x:f>
        <x:v>725000000</x:v>
      </x:c>
      <x:c r="E726" s="230" t="n">
        <x:f>C726-D726</x:f>
        <x:v>0</x:v>
      </x:c>
      <x:c r="F726" s="177" t="str">
        <x:f>IF(ABS(E726)&lt;0.000001,"PASS","FAIL")</x:f>
        <x:v>PASS</x:v>
      </x:c>
      <x:c r="G726" s="177" t="str">
        <x:v>出货量×单位用量</x:v>
      </x:c>
      <x:c r="H726" s="184"/>
    </x:row>
    <x:row r="727">
      <x:c r="A727" s="177" t="str">
        <x:v>DYN-SPEC-TAM-83</x:v>
      </x:c>
      <x:c r="B727" s="177" t="str">
        <x:v>base 2027 pluggable-800g 800G空间</x:v>
      </x:c>
      <x:c r="C727" s="230" t="n">
        <x:f>'规格明细'!K83</x:f>
        <x:v>26.1</x:v>
      </x:c>
      <x:c r="D727" s="230" t="n">
        <x:f>'规格明细'!G83*'规格明细'!I83/100000000</x:f>
        <x:v>26.1</x:v>
      </x:c>
      <x:c r="E727" s="230" t="n">
        <x:f>C727-D727</x:f>
        <x:v>0</x:v>
      </x:c>
      <x:c r="F727" s="177" t="str">
        <x:f>IF(ABS(E727)&lt;0.000001,"PASS","FAIL")</x:f>
        <x:v>PASS</x:v>
      </x:c>
      <x:c r="G727" s="177" t="str">
        <x:v>组件数量×价格</x:v>
      </x:c>
      <x:c r="H727" s="184"/>
    </x:row>
    <x:row r="728">
      <x:c r="A728" s="177" t="str">
        <x:v>DYN-SPEC-REV-83</x:v>
      </x:c>
      <x:c r="B728" s="177" t="str">
        <x:v>base 2027 pluggable-800g 800G理论收入</x:v>
      </x:c>
      <x:c r="C728" s="230" t="n">
        <x:f>'规格明细'!L83</x:f>
        <x:v>2.349</x:v>
      </x:c>
      <x:c r="D728" s="230" t="n">
        <x:f>'规格明细'!K83*'规格明细'!J83</x:f>
        <x:v>2.349</x:v>
      </x:c>
      <x:c r="E728" s="230" t="n">
        <x:f>C728-D728</x:f>
        <x:v>0</x:v>
      </x:c>
      <x:c r="F728" s="177" t="str">
        <x:f>IF(ABS(E728)&lt;0.000001,"PASS","FAIL")</x:f>
        <x:v>PASS</x:v>
      </x:c>
      <x:c r="G728" s="177" t="str">
        <x:v>份额只乘一次</x:v>
      </x:c>
      <x:c r="H728" s="184"/>
    </x:row>
    <x:row r="729">
      <x:c r="A729" s="177" t="str">
        <x:v>DYN-SPEC-Q-84</x:v>
      </x:c>
      <x:c r="B729" s="177" t="str">
        <x:v>base 2027 pluggable-1p6t 1.6T数量</x:v>
      </x:c>
      <x:c r="C729" s="230" t="n">
        <x:f>'规格明细'!G84</x:f>
        <x:v>640000000</x:v>
      </x:c>
      <x:c r="D729" s="230" t="n">
        <x:f>'规格明细'!D84*10000*'规格明细'!E84</x:f>
        <x:v>640000000</x:v>
      </x:c>
      <x:c r="E729" s="230" t="n">
        <x:f>C729-D729</x:f>
        <x:v>0</x:v>
      </x:c>
      <x:c r="F729" s="177" t="str">
        <x:f>IF(ABS(E729)&lt;0.000001,"PASS","FAIL")</x:f>
        <x:v>PASS</x:v>
      </x:c>
      <x:c r="G729" s="177" t="str">
        <x:v>出货量×单位用量</x:v>
      </x:c>
      <x:c r="H729" s="184"/>
    </x:row>
    <x:row r="730">
      <x:c r="A730" s="177" t="str">
        <x:v>DYN-SPEC-TAM-84</x:v>
      </x:c>
      <x:c r="B730" s="177" t="str">
        <x:v>base 2027 pluggable-1p6t 1.6T空间</x:v>
      </x:c>
      <x:c r="C730" s="230" t="n">
        <x:f>'规格明细'!K84</x:f>
        <x:v>32.256</x:v>
      </x:c>
      <x:c r="D730" s="230" t="n">
        <x:f>'规格明细'!G84*'规格明细'!I84/100000000</x:f>
        <x:v>32.256</x:v>
      </x:c>
      <x:c r="E730" s="230" t="n">
        <x:f>C730-D730</x:f>
        <x:v>0</x:v>
      </x:c>
      <x:c r="F730" s="177" t="str">
        <x:f>IF(ABS(E730)&lt;0.000001,"PASS","FAIL")</x:f>
        <x:v>PASS</x:v>
      </x:c>
      <x:c r="G730" s="177" t="str">
        <x:v>组件数量×价格</x:v>
      </x:c>
      <x:c r="H730" s="184"/>
    </x:row>
    <x:row r="731">
      <x:c r="A731" s="177" t="str">
        <x:v>DYN-SPEC-REV-84</x:v>
      </x:c>
      <x:c r="B731" s="177" t="str">
        <x:v>base 2027 pluggable-1p6t 1.6T理论收入</x:v>
      </x:c>
      <x:c r="C731" s="230" t="n">
        <x:f>'规格明细'!L84</x:f>
        <x:v>2.90304</x:v>
      </x:c>
      <x:c r="D731" s="230" t="n">
        <x:f>'规格明细'!K84*'规格明细'!J84</x:f>
        <x:v>2.90304</x:v>
      </x:c>
      <x:c r="E731" s="230" t="n">
        <x:f>C731-D731</x:f>
        <x:v>0</x:v>
      </x:c>
      <x:c r="F731" s="177" t="str">
        <x:f>IF(ABS(E731)&lt;0.000001,"PASS","FAIL")</x:f>
        <x:v>PASS</x:v>
      </x:c>
      <x:c r="G731" s="177" t="str">
        <x:v>份额只乘一次</x:v>
      </x:c>
      <x:c r="H731" s="184"/>
    </x:row>
    <x:row r="732">
      <x:c r="A732" s="177" t="str">
        <x:v>DYN-SPEC-Q-85</x:v>
      </x:c>
      <x:c r="B732" s="177" t="str">
        <x:v>base 2027 ocs 小端口参考系统数量</x:v>
      </x:c>
      <x:c r="C732" s="230" t="n">
        <x:f>'规格明细'!G85</x:f>
        <x:v>15360000</x:v>
      </x:c>
      <x:c r="D732" s="230" t="n">
        <x:f>'规格明细'!D85*10000*'规格明细'!E85</x:f>
        <x:v>15360000</x:v>
      </x:c>
      <x:c r="E732" s="230" t="n">
        <x:f>C732-D732</x:f>
        <x:v>0</x:v>
      </x:c>
      <x:c r="F732" s="177" t="str">
        <x:f>IF(ABS(E732)&lt;0.000001,"PASS","FAIL")</x:f>
        <x:v>PASS</x:v>
      </x:c>
      <x:c r="G732" s="177" t="str">
        <x:v>出货量×单位用量</x:v>
      </x:c>
      <x:c r="H732" s="184"/>
    </x:row>
    <x:row r="733">
      <x:c r="A733" s="177" t="str">
        <x:v>DYN-SPEC-TAM-85</x:v>
      </x:c>
      <x:c r="B733" s="177" t="str">
        <x:v>base 2027 ocs 小端口参考系统空间</x:v>
      </x:c>
      <x:c r="C733" s="230" t="n">
        <x:f>'规格明细'!K85</x:f>
        <x:v>2.4576</x:v>
      </x:c>
      <x:c r="D733" s="230" t="n">
        <x:f>'规格明细'!G85*'规格明细'!I85/100000000</x:f>
        <x:v>2.4576</x:v>
      </x:c>
      <x:c r="E733" s="230" t="n">
        <x:f>C733-D733</x:f>
        <x:v>0</x:v>
      </x:c>
      <x:c r="F733" s="177" t="str">
        <x:f>IF(ABS(E733)&lt;0.000001,"PASS","FAIL")</x:f>
        <x:v>PASS</x:v>
      </x:c>
      <x:c r="G733" s="177" t="str">
        <x:v>组件数量×价格</x:v>
      </x:c>
      <x:c r="H733" s="184"/>
    </x:row>
    <x:row r="734">
      <x:c r="A734" s="177" t="str">
        <x:v>DYN-SPEC-REV-85</x:v>
      </x:c>
      <x:c r="B734" s="177" t="str">
        <x:v>base 2027 ocs 小端口参考系统理论收入</x:v>
      </x:c>
      <x:c r="C734" s="230" t="n">
        <x:f>'规格明细'!L85</x:f>
        <x:v>2.21184</x:v>
      </x:c>
      <x:c r="D734" s="230" t="n">
        <x:f>'规格明细'!K85*'规格明细'!J85</x:f>
        <x:v>2.21184</x:v>
      </x:c>
      <x:c r="E734" s="230" t="n">
        <x:f>C734-D734</x:f>
        <x:v>0</x:v>
      </x:c>
      <x:c r="F734" s="177" t="str">
        <x:f>IF(ABS(E734)&lt;0.000001,"PASS","FAIL")</x:f>
        <x:v>PASS</x:v>
      </x:c>
      <x:c r="G734" s="177" t="str">
        <x:v>份额只乘一次</x:v>
      </x:c>
      <x:c r="H734" s="184"/>
    </x:row>
    <x:row r="735">
      <x:c r="A735" s="177" t="str">
        <x:v>DYN-SPEC-Q-86</x:v>
      </x:c>
      <x:c r="B735" s="177" t="str">
        <x:v>base 2027 ocs 大端口320×320数量</x:v>
      </x:c>
      <x:c r="C735" s="230" t="n">
        <x:f>'规格明细'!G86</x:f>
        <x:v>25600000</x:v>
      </x:c>
      <x:c r="D735" s="230" t="n">
        <x:f>'规格明细'!D86*10000*'规格明细'!E86</x:f>
        <x:v>25600000</x:v>
      </x:c>
      <x:c r="E735" s="230" t="n">
        <x:f>C735-D735</x:f>
        <x:v>0</x:v>
      </x:c>
      <x:c r="F735" s="177" t="str">
        <x:f>IF(ABS(E735)&lt;0.000001,"PASS","FAIL")</x:f>
        <x:v>PASS</x:v>
      </x:c>
      <x:c r="G735" s="177" t="str">
        <x:v>出货量×单位用量</x:v>
      </x:c>
      <x:c r="H735" s="184"/>
    </x:row>
    <x:row r="736">
      <x:c r="A736" s="177" t="str">
        <x:v>DYN-SPEC-TAM-86</x:v>
      </x:c>
      <x:c r="B736" s="177" t="str">
        <x:v>base 2027 ocs 大端口320×320空间</x:v>
      </x:c>
      <x:c r="C736" s="230" t="n">
        <x:f>'规格明细'!K86</x:f>
        <x:v>8.192</x:v>
      </x:c>
      <x:c r="D736" s="230" t="n">
        <x:f>'规格明细'!G86*'规格明细'!I86/100000000</x:f>
        <x:v>8.192</x:v>
      </x:c>
      <x:c r="E736" s="230" t="n">
        <x:f>C736-D736</x:f>
        <x:v>0</x:v>
      </x:c>
      <x:c r="F736" s="177" t="str">
        <x:f>IF(ABS(E736)&lt;0.000001,"PASS","FAIL")</x:f>
        <x:v>PASS</x:v>
      </x:c>
      <x:c r="G736" s="177" t="str">
        <x:v>组件数量×价格</x:v>
      </x:c>
      <x:c r="H736" s="184"/>
    </x:row>
    <x:row r="737">
      <x:c r="A737" s="177" t="str">
        <x:v>DYN-SPEC-REV-86</x:v>
      </x:c>
      <x:c r="B737" s="177" t="str">
        <x:v>base 2027 ocs 大端口320×320理论收入</x:v>
      </x:c>
      <x:c r="C737" s="230" t="n">
        <x:f>'规格明细'!L86</x:f>
        <x:v>7.782400000000001</x:v>
      </x:c>
      <x:c r="D737" s="230" t="n">
        <x:f>'规格明细'!K86*'规格明细'!J86</x:f>
        <x:v>7.782400000000001</x:v>
      </x:c>
      <x:c r="E737" s="230" t="n">
        <x:f>C737-D737</x:f>
        <x:v>0</x:v>
      </x:c>
      <x:c r="F737" s="177" t="str">
        <x:f>IF(ABS(E737)&lt;0.000001,"PASS","FAIL")</x:f>
        <x:v>PASS</x:v>
      </x:c>
      <x:c r="G737" s="177" t="str">
        <x:v>份额只乘一次</x:v>
      </x:c>
      <x:c r="H737" s="184"/>
    </x:row>
    <x:row r="738">
      <x:c r="A738" s="177" t="str">
        <x:v>DYN-SPEC-Q-87</x:v>
      </x:c>
      <x:c r="B738" s="177" t="str">
        <x:v>base 2027 vGroove 102.4T数量</x:v>
      </x:c>
      <x:c r="C738" s="230" t="n">
        <x:f>'规格明细'!G87</x:f>
        <x:v>230400000</x:v>
      </x:c>
      <x:c r="D738" s="230" t="n">
        <x:f>'规格明细'!D87*10000*'规格明细'!E87</x:f>
        <x:v>230400000</x:v>
      </x:c>
      <x:c r="E738" s="230" t="n">
        <x:f>C738-D738</x:f>
        <x:v>0</x:v>
      </x:c>
      <x:c r="F738" s="177" t="str">
        <x:f>IF(ABS(E738)&lt;0.000001,"PASS","FAIL")</x:f>
        <x:v>PASS</x:v>
      </x:c>
      <x:c r="G738" s="177" t="str">
        <x:v>出货量×单位用量</x:v>
      </x:c>
      <x:c r="H738" s="184"/>
    </x:row>
    <x:row r="739">
      <x:c r="A739" s="177" t="str">
        <x:v>DYN-SPEC-TAM-87</x:v>
      </x:c>
      <x:c r="B739" s="177" t="str">
        <x:v>base 2027 vGroove 102.4T空间</x:v>
      </x:c>
      <x:c r="C739" s="230" t="n">
        <x:f>'规格明细'!K87</x:f>
        <x:v>16.515071999999996</x:v>
      </x:c>
      <x:c r="D739" s="230" t="n">
        <x:f>'规格明细'!G87*'规格明细'!I87/100000000</x:f>
        <x:v>16.515071999999996</x:v>
      </x:c>
      <x:c r="E739" s="230" t="n">
        <x:f>C739-D739</x:f>
        <x:v>0</x:v>
      </x:c>
      <x:c r="F739" s="177" t="str">
        <x:f>IF(ABS(E739)&lt;0.000001,"PASS","FAIL")</x:f>
        <x:v>PASS</x:v>
      </x:c>
      <x:c r="G739" s="177" t="str">
        <x:v>组件数量×价格</x:v>
      </x:c>
      <x:c r="H739" s="184"/>
    </x:row>
    <x:row r="740">
      <x:c r="A740" s="177" t="str">
        <x:v>DYN-SPEC-REV-87</x:v>
      </x:c>
      <x:c r="B740" s="177" t="str">
        <x:v>base 2027 vGroove 102.4T理论收入</x:v>
      </x:c>
      <x:c r="C740" s="230" t="n">
        <x:f>'规格明细'!L87</x:f>
        <x:v>8.257535999999998</x:v>
      </x:c>
      <x:c r="D740" s="230" t="n">
        <x:f>'规格明细'!K87*'规格明细'!J87</x:f>
        <x:v>8.257535999999998</x:v>
      </x:c>
      <x:c r="E740" s="230" t="n">
        <x:f>C740-D740</x:f>
        <x:v>0</x:v>
      </x:c>
      <x:c r="F740" s="177" t="str">
        <x:f>IF(ABS(E740)&lt;0.000001,"PASS","FAIL")</x:f>
        <x:v>PASS</x:v>
      </x:c>
      <x:c r="G740" s="177" t="str">
        <x:v>份额只乘一次</x:v>
      </x:c>
      <x:c r="H740" s="184"/>
    </x:row>
    <x:row r="741">
      <x:c r="A741" s="177" t="str">
        <x:v>DYN-SPEC-Q-88</x:v>
      </x:c>
      <x:c r="B741" s="177" t="str">
        <x:v>base 2027 vGroove 204.8T数量</x:v>
      </x:c>
      <x:c r="C741" s="230" t="n">
        <x:f>'规格明细'!G88</x:f>
        <x:v>0</x:v>
      </x:c>
      <x:c r="D741" s="230" t="n">
        <x:f>'规格明细'!D88*10000*'规格明细'!E88</x:f>
        <x:v>0</x:v>
      </x:c>
      <x:c r="E741" s="230" t="n">
        <x:f>C741-D741</x:f>
        <x:v>0</x:v>
      </x:c>
      <x:c r="F741" s="177" t="str">
        <x:f>IF(ABS(E741)&lt;0.000001,"PASS","FAIL")</x:f>
        <x:v>PASS</x:v>
      </x:c>
      <x:c r="G741" s="177" t="str">
        <x:v>出货量×单位用量</x:v>
      </x:c>
      <x:c r="H741" s="184"/>
    </x:row>
    <x:row r="742">
      <x:c r="A742" s="177" t="str">
        <x:v>DYN-SPEC-TAM-88</x:v>
      </x:c>
      <x:c r="B742" s="177" t="str">
        <x:v>base 2027 vGroove 204.8T空间</x:v>
      </x:c>
      <x:c r="C742" s="230" t="n">
        <x:f>'规格明细'!K88</x:f>
        <x:v>0</x:v>
      </x:c>
      <x:c r="D742" s="230" t="n">
        <x:f>'规格明细'!G88*'规格明细'!I88/100000000</x:f>
        <x:v>0</x:v>
      </x:c>
      <x:c r="E742" s="230" t="n">
        <x:f>C742-D742</x:f>
        <x:v>0</x:v>
      </x:c>
      <x:c r="F742" s="177" t="str">
        <x:f>IF(ABS(E742)&lt;0.000001,"PASS","FAIL")</x:f>
        <x:v>PASS</x:v>
      </x:c>
      <x:c r="G742" s="177" t="str">
        <x:v>组件数量×价格</x:v>
      </x:c>
      <x:c r="H742" s="184"/>
    </x:row>
    <x:row r="743">
      <x:c r="A743" s="177" t="str">
        <x:v>DYN-SPEC-REV-88</x:v>
      </x:c>
      <x:c r="B743" s="177" t="str">
        <x:v>base 2027 vGroove 204.8T理论收入</x:v>
      </x:c>
      <x:c r="C743" s="230" t="n">
        <x:f>'规格明细'!L88</x:f>
        <x:v>0</x:v>
      </x:c>
      <x:c r="D743" s="230" t="n">
        <x:f>'规格明细'!K88*'规格明细'!J88</x:f>
        <x:v>0</x:v>
      </x:c>
      <x:c r="E743" s="230" t="n">
        <x:f>C743-D743</x:f>
        <x:v>0</x:v>
      </x:c>
      <x:c r="F743" s="177" t="str">
        <x:f>IF(ABS(E743)&lt;0.000001,"PASS","FAIL")</x:f>
        <x:v>PASS</x:v>
      </x:c>
      <x:c r="G743" s="177" t="str">
        <x:v>份额只乘一次</x:v>
      </x:c>
      <x:c r="H743" s="184"/>
    </x:row>
    <x:row r="744">
      <x:c r="A744" s="177" t="str">
        <x:v>DYN-SPEC-Q-89</x:v>
      </x:c>
      <x:c r="B744" s="177" t="str">
        <x:v>base 2027 fauPrism 102.4T数量</x:v>
      </x:c>
      <x:c r="C744" s="230" t="n">
        <x:f>'规格明细'!G89</x:f>
        <x:v>230400000</x:v>
      </x:c>
      <x:c r="D744" s="230" t="n">
        <x:f>'规格明细'!D89*10000*'规格明细'!E89</x:f>
        <x:v>230400000</x:v>
      </x:c>
      <x:c r="E744" s="230" t="n">
        <x:f>C744-D744</x:f>
        <x:v>0</x:v>
      </x:c>
      <x:c r="F744" s="177" t="str">
        <x:f>IF(ABS(E744)&lt;0.000001,"PASS","FAIL")</x:f>
        <x:v>PASS</x:v>
      </x:c>
      <x:c r="G744" s="177" t="str">
        <x:v>出货量×单位用量</x:v>
      </x:c>
      <x:c r="H744" s="184"/>
    </x:row>
    <x:row r="745">
      <x:c r="A745" s="177" t="str">
        <x:v>DYN-SPEC-TAM-89</x:v>
      </x:c>
      <x:c r="B745" s="177" t="str">
        <x:v>base 2027 fauPrism 102.4T空间</x:v>
      </x:c>
      <x:c r="C745" s="230" t="n">
        <x:f>'规格明细'!K89</x:f>
        <x:v>23.592960000000005</x:v>
      </x:c>
      <x:c r="D745" s="230" t="n">
        <x:f>'规格明细'!G89*'规格明细'!I89/100000000</x:f>
        <x:v>23.592960000000005</x:v>
      </x:c>
      <x:c r="E745" s="230" t="n">
        <x:f>C745-D745</x:f>
        <x:v>0</x:v>
      </x:c>
      <x:c r="F745" s="177" t="str">
        <x:f>IF(ABS(E745)&lt;0.000001,"PASS","FAIL")</x:f>
        <x:v>PASS</x:v>
      </x:c>
      <x:c r="G745" s="177" t="str">
        <x:v>组件数量×价格</x:v>
      </x:c>
      <x:c r="H745" s="184"/>
    </x:row>
    <x:row r="746">
      <x:c r="A746" s="177" t="str">
        <x:v>DYN-SPEC-REV-89</x:v>
      </x:c>
      <x:c r="B746" s="177" t="str">
        <x:v>base 2027 fauPrism 102.4T理论收入</x:v>
      </x:c>
      <x:c r="C746" s="230" t="n">
        <x:f>'规格明细'!L89</x:f>
        <x:v>10.616832000000002</x:v>
      </x:c>
      <x:c r="D746" s="230" t="n">
        <x:f>'规格明细'!K89*'规格明细'!J89</x:f>
        <x:v>10.616832000000002</x:v>
      </x:c>
      <x:c r="E746" s="230" t="n">
        <x:f>C746-D746</x:f>
        <x:v>0</x:v>
      </x:c>
      <x:c r="F746" s="177" t="str">
        <x:f>IF(ABS(E746)&lt;0.000001,"PASS","FAIL")</x:f>
        <x:v>PASS</x:v>
      </x:c>
      <x:c r="G746" s="177" t="str">
        <x:v>份额只乘一次</x:v>
      </x:c>
      <x:c r="H746" s="184"/>
    </x:row>
    <x:row r="747">
      <x:c r="A747" s="177" t="str">
        <x:v>DYN-SPEC-Q-90</x:v>
      </x:c>
      <x:c r="B747" s="177" t="str">
        <x:v>base 2027 fauPrism 204.8T数量</x:v>
      </x:c>
      <x:c r="C747" s="230" t="n">
        <x:f>'规格明细'!G90</x:f>
        <x:v>0</x:v>
      </x:c>
      <x:c r="D747" s="230" t="n">
        <x:f>'规格明细'!D90*10000*'规格明细'!E90</x:f>
        <x:v>0</x:v>
      </x:c>
      <x:c r="E747" s="230" t="n">
        <x:f>C747-D747</x:f>
        <x:v>0</x:v>
      </x:c>
      <x:c r="F747" s="177" t="str">
        <x:f>IF(ABS(E747)&lt;0.000001,"PASS","FAIL")</x:f>
        <x:v>PASS</x:v>
      </x:c>
      <x:c r="G747" s="177" t="str">
        <x:v>出货量×单位用量</x:v>
      </x:c>
      <x:c r="H747" s="184"/>
    </x:row>
    <x:row r="748">
      <x:c r="A748" s="177" t="str">
        <x:v>DYN-SPEC-TAM-90</x:v>
      </x:c>
      <x:c r="B748" s="177" t="str">
        <x:v>base 2027 fauPrism 204.8T空间</x:v>
      </x:c>
      <x:c r="C748" s="230" t="n">
        <x:f>'规格明细'!K90</x:f>
        <x:v>0</x:v>
      </x:c>
      <x:c r="D748" s="230" t="n">
        <x:f>'规格明细'!G90*'规格明细'!I90/100000000</x:f>
        <x:v>0</x:v>
      </x:c>
      <x:c r="E748" s="230" t="n">
        <x:f>C748-D748</x:f>
        <x:v>0</x:v>
      </x:c>
      <x:c r="F748" s="177" t="str">
        <x:f>IF(ABS(E748)&lt;0.000001,"PASS","FAIL")</x:f>
        <x:v>PASS</x:v>
      </x:c>
      <x:c r="G748" s="177" t="str">
        <x:v>组件数量×价格</x:v>
      </x:c>
      <x:c r="H748" s="184"/>
    </x:row>
    <x:row r="749">
      <x:c r="A749" s="177" t="str">
        <x:v>DYN-SPEC-REV-90</x:v>
      </x:c>
      <x:c r="B749" s="177" t="str">
        <x:v>base 2027 fauPrism 204.8T理论收入</x:v>
      </x:c>
      <x:c r="C749" s="230" t="n">
        <x:f>'规格明细'!L90</x:f>
        <x:v>0</x:v>
      </x:c>
      <x:c r="D749" s="230" t="n">
        <x:f>'规格明细'!K90*'规格明细'!J90</x:f>
        <x:v>0</x:v>
      </x:c>
      <x:c r="E749" s="230" t="n">
        <x:f>C749-D749</x:f>
        <x:v>0</x:v>
      </x:c>
      <x:c r="F749" s="177" t="str">
        <x:f>IF(ABS(E749)&lt;0.000001,"PASS","FAIL")</x:f>
        <x:v>PASS</x:v>
      </x:c>
      <x:c r="G749" s="177" t="str">
        <x:v>份额只乘一次</x:v>
      </x:c>
      <x:c r="H749" s="184"/>
    </x:row>
    <x:row r="750">
      <x:c r="A750" s="177" t="str">
        <x:v>DYN-SPEC-Q-91</x:v>
      </x:c>
      <x:c r="B750" s="177" t="str">
        <x:v>base 2027 externalLaser 102.4T数量</x:v>
      </x:c>
      <x:c r="C750" s="230" t="n">
        <x:f>'规格明细'!G91</x:f>
        <x:v>25600000</x:v>
      </x:c>
      <x:c r="D750" s="230" t="n">
        <x:f>'规格明细'!D91*10000*'规格明细'!E91</x:f>
        <x:v>25600000</x:v>
      </x:c>
      <x:c r="E750" s="230" t="n">
        <x:f>C750-D750</x:f>
        <x:v>0</x:v>
      </x:c>
      <x:c r="F750" s="177" t="str">
        <x:f>IF(ABS(E750)&lt;0.000001,"PASS","FAIL")</x:f>
        <x:v>PASS</x:v>
      </x:c>
      <x:c r="G750" s="177" t="str">
        <x:v>出货量×单位用量</x:v>
      </x:c>
      <x:c r="H750" s="184"/>
    </x:row>
    <x:row r="751">
      <x:c r="A751" s="177" t="str">
        <x:v>DYN-SPEC-TAM-91</x:v>
      </x:c>
      <x:c r="B751" s="177" t="str">
        <x:v>base 2027 externalLaser 102.4T空间</x:v>
      </x:c>
      <x:c r="C751" s="230" t="n">
        <x:f>'规格明细'!K91</x:f>
        <x:v>13.1072</x:v>
      </x:c>
      <x:c r="D751" s="230" t="n">
        <x:f>'规格明细'!G91*'规格明细'!I91/100000000</x:f>
        <x:v>13.1072</x:v>
      </x:c>
      <x:c r="E751" s="230" t="n">
        <x:f>C751-D751</x:f>
        <x:v>0</x:v>
      </x:c>
      <x:c r="F751" s="177" t="str">
        <x:f>IF(ABS(E751)&lt;0.000001,"PASS","FAIL")</x:f>
        <x:v>PASS</x:v>
      </x:c>
      <x:c r="G751" s="177" t="str">
        <x:v>组件数量×价格</x:v>
      </x:c>
      <x:c r="H751" s="184"/>
    </x:row>
    <x:row r="752">
      <x:c r="A752" s="177" t="str">
        <x:v>DYN-SPEC-REV-91</x:v>
      </x:c>
      <x:c r="B752" s="177" t="str">
        <x:v>base 2027 externalLaser 102.4T理论收入</x:v>
      </x:c>
      <x:c r="C752" s="230" t="n">
        <x:f>'规格明细'!L91</x:f>
        <x:v>5.89824</x:v>
      </x:c>
      <x:c r="D752" s="230" t="n">
        <x:f>'规格明细'!K91*'规格明细'!J91</x:f>
        <x:v>5.89824</x:v>
      </x:c>
      <x:c r="E752" s="230" t="n">
        <x:f>C752-D752</x:f>
        <x:v>0</x:v>
      </x:c>
      <x:c r="F752" s="177" t="str">
        <x:f>IF(ABS(E752)&lt;0.000001,"PASS","FAIL")</x:f>
        <x:v>PASS</x:v>
      </x:c>
      <x:c r="G752" s="177" t="str">
        <x:v>份额只乘一次</x:v>
      </x:c>
      <x:c r="H752" s="184"/>
    </x:row>
    <x:row r="753">
      <x:c r="A753" s="177" t="str">
        <x:v>DYN-SPEC-Q-92</x:v>
      </x:c>
      <x:c r="B753" s="177" t="str">
        <x:v>base 2027 externalLaser 204.8T数量</x:v>
      </x:c>
      <x:c r="C753" s="230" t="n">
        <x:f>'规格明细'!G92</x:f>
        <x:v>0</x:v>
      </x:c>
      <x:c r="D753" s="230" t="n">
        <x:f>'规格明细'!D92*10000*'规格明细'!E92</x:f>
        <x:v>0</x:v>
      </x:c>
      <x:c r="E753" s="230" t="n">
        <x:f>C753-D753</x:f>
        <x:v>0</x:v>
      </x:c>
      <x:c r="F753" s="177" t="str">
        <x:f>IF(ABS(E753)&lt;0.000001,"PASS","FAIL")</x:f>
        <x:v>PASS</x:v>
      </x:c>
      <x:c r="G753" s="177" t="str">
        <x:v>出货量×单位用量</x:v>
      </x:c>
      <x:c r="H753" s="184"/>
    </x:row>
    <x:row r="754">
      <x:c r="A754" s="177" t="str">
        <x:v>DYN-SPEC-TAM-92</x:v>
      </x:c>
      <x:c r="B754" s="177" t="str">
        <x:v>base 2027 externalLaser 204.8T空间</x:v>
      </x:c>
      <x:c r="C754" s="230" t="n">
        <x:f>'规格明细'!K92</x:f>
        <x:v>0</x:v>
      </x:c>
      <x:c r="D754" s="230" t="n">
        <x:f>'规格明细'!G92*'规格明细'!I92/100000000</x:f>
        <x:v>0</x:v>
      </x:c>
      <x:c r="E754" s="230" t="n">
        <x:f>C754-D754</x:f>
        <x:v>0</x:v>
      </x:c>
      <x:c r="F754" s="177" t="str">
        <x:f>IF(ABS(E754)&lt;0.000001,"PASS","FAIL")</x:f>
        <x:v>PASS</x:v>
      </x:c>
      <x:c r="G754" s="177" t="str">
        <x:v>组件数量×价格</x:v>
      </x:c>
      <x:c r="H754" s="184"/>
    </x:row>
    <x:row r="755">
      <x:c r="A755" s="177" t="str">
        <x:v>DYN-SPEC-REV-92</x:v>
      </x:c>
      <x:c r="B755" s="177" t="str">
        <x:v>base 2027 externalLaser 204.8T理论收入</x:v>
      </x:c>
      <x:c r="C755" s="230" t="n">
        <x:f>'规格明细'!L92</x:f>
        <x:v>0</x:v>
      </x:c>
      <x:c r="D755" s="230" t="n">
        <x:f>'规格明细'!K92*'规格明细'!J92</x:f>
        <x:v>0</x:v>
      </x:c>
      <x:c r="E755" s="230" t="n">
        <x:f>C755-D755</x:f>
        <x:v>0</x:v>
      </x:c>
      <x:c r="F755" s="177" t="str">
        <x:f>IF(ABS(E755)&lt;0.000001,"PASS","FAIL")</x:f>
        <x:v>PASS</x:v>
      </x:c>
      <x:c r="G755" s="177" t="str">
        <x:v>份额只乘一次</x:v>
      </x:c>
      <x:c r="H755" s="184"/>
    </x:row>
    <x:row r="756">
      <x:c r="A756" s="177" t="str">
        <x:v>DYN-SPEC-Q-93</x:v>
      </x:c>
      <x:c r="B756" s="177" t="str">
        <x:v>base 2027 equipment 102.4T数量</x:v>
      </x:c>
      <x:c r="C756" s="230" t="n">
        <x:f>'规格明细'!G93</x:f>
        <x:v>6400</x:v>
      </x:c>
      <x:c r="D756" s="230" t="n">
        <x:f>'规格明细'!D93*10000*'规格明细'!E93</x:f>
        <x:v>6400</x:v>
      </x:c>
      <x:c r="E756" s="230" t="n">
        <x:f>C756-D756</x:f>
        <x:v>0</x:v>
      </x:c>
      <x:c r="F756" s="177" t="str">
        <x:f>IF(ABS(E756)&lt;0.000001,"PASS","FAIL")</x:f>
        <x:v>PASS</x:v>
      </x:c>
      <x:c r="G756" s="177" t="str">
        <x:v>出货量×单位用量</x:v>
      </x:c>
      <x:c r="H756" s="184"/>
    </x:row>
    <x:row r="757">
      <x:c r="A757" s="177" t="str">
        <x:v>DYN-SPEC-TAM-93</x:v>
      </x:c>
      <x:c r="B757" s="177" t="str">
        <x:v>base 2027 equipment 102.4T空间</x:v>
      </x:c>
      <x:c r="C757" s="230" t="n">
        <x:f>'规格明细'!K93</x:f>
        <x:v>4.096</x:v>
      </x:c>
      <x:c r="D757" s="230" t="n">
        <x:f>'规格明细'!G93*'规格明细'!I93/100000000</x:f>
        <x:v>4.096</x:v>
      </x:c>
      <x:c r="E757" s="230" t="n">
        <x:f>C757-D757</x:f>
        <x:v>0</x:v>
      </x:c>
      <x:c r="F757" s="177" t="str">
        <x:f>IF(ABS(E757)&lt;0.000001,"PASS","FAIL")</x:f>
        <x:v>PASS</x:v>
      </x:c>
      <x:c r="G757" s="177" t="str">
        <x:v>组件数量×价格</x:v>
      </x:c>
      <x:c r="H757" s="184"/>
    </x:row>
    <x:row r="758">
      <x:c r="A758" s="177" t="str">
        <x:v>DYN-SPEC-REV-93</x:v>
      </x:c>
      <x:c r="B758" s="177" t="str">
        <x:v>base 2027 equipment 102.4T理论收入</x:v>
      </x:c>
      <x:c r="C758" s="230" t="n">
        <x:f>'规格明细'!L93</x:f>
        <x:v>1.2288</x:v>
      </x:c>
      <x:c r="D758" s="230" t="n">
        <x:f>'规格明细'!K93*'规格明细'!J93</x:f>
        <x:v>1.2288</x:v>
      </x:c>
      <x:c r="E758" s="230" t="n">
        <x:f>C758-D758</x:f>
        <x:v>0</x:v>
      </x:c>
      <x:c r="F758" s="177" t="str">
        <x:f>IF(ABS(E758)&lt;0.000001,"PASS","FAIL")</x:f>
        <x:v>PASS</x:v>
      </x:c>
      <x:c r="G758" s="177" t="str">
        <x:v>份额只乘一次</x:v>
      </x:c>
      <x:c r="H758" s="184"/>
    </x:row>
    <x:row r="759">
      <x:c r="A759" s="177" t="str">
        <x:v>DYN-SPEC-Q-94</x:v>
      </x:c>
      <x:c r="B759" s="177" t="str">
        <x:v>base 2027 equipment 204.8T数量</x:v>
      </x:c>
      <x:c r="C759" s="230" t="n">
        <x:f>'规格明细'!G94</x:f>
        <x:v>0</x:v>
      </x:c>
      <x:c r="D759" s="230" t="n">
        <x:f>'规格明细'!D94*10000*'规格明细'!E94</x:f>
        <x:v>0</x:v>
      </x:c>
      <x:c r="E759" s="230" t="n">
        <x:f>C759-D759</x:f>
        <x:v>0</x:v>
      </x:c>
      <x:c r="F759" s="177" t="str">
        <x:f>IF(ABS(E759)&lt;0.000001,"PASS","FAIL")</x:f>
        <x:v>PASS</x:v>
      </x:c>
      <x:c r="G759" s="177" t="str">
        <x:v>出货量×单位用量</x:v>
      </x:c>
      <x:c r="H759" s="184"/>
    </x:row>
    <x:row r="760">
      <x:c r="A760" s="177" t="str">
        <x:v>DYN-SPEC-TAM-94</x:v>
      </x:c>
      <x:c r="B760" s="177" t="str">
        <x:v>base 2027 equipment 204.8T空间</x:v>
      </x:c>
      <x:c r="C760" s="230" t="n">
        <x:f>'规格明细'!K94</x:f>
        <x:v>0</x:v>
      </x:c>
      <x:c r="D760" s="230" t="n">
        <x:f>'规格明细'!G94*'规格明细'!I94/100000000</x:f>
        <x:v>0</x:v>
      </x:c>
      <x:c r="E760" s="230" t="n">
        <x:f>C760-D760</x:f>
        <x:v>0</x:v>
      </x:c>
      <x:c r="F760" s="177" t="str">
        <x:f>IF(ABS(E760)&lt;0.000001,"PASS","FAIL")</x:f>
        <x:v>PASS</x:v>
      </x:c>
      <x:c r="G760" s="177" t="str">
        <x:v>组件数量×价格</x:v>
      </x:c>
      <x:c r="H760" s="184"/>
    </x:row>
    <x:row r="761">
      <x:c r="A761" s="177" t="str">
        <x:v>DYN-SPEC-REV-94</x:v>
      </x:c>
      <x:c r="B761" s="177" t="str">
        <x:v>base 2027 equipment 204.8T理论收入</x:v>
      </x:c>
      <x:c r="C761" s="230" t="n">
        <x:f>'规格明细'!L94</x:f>
        <x:v>0</x:v>
      </x:c>
      <x:c r="D761" s="230" t="n">
        <x:f>'规格明细'!K94*'规格明细'!J94</x:f>
        <x:v>0</x:v>
      </x:c>
      <x:c r="E761" s="230" t="n">
        <x:f>C761-D761</x:f>
        <x:v>0</x:v>
      </x:c>
      <x:c r="F761" s="177" t="str">
        <x:f>IF(ABS(E761)&lt;0.000001,"PASS","FAIL")</x:f>
        <x:v>PASS</x:v>
      </x:c>
      <x:c r="G761" s="177" t="str">
        <x:v>份额只乘一次</x:v>
      </x:c>
      <x:c r="H761" s="184"/>
    </x:row>
    <x:row r="762">
      <x:c r="A762" s="177" t="str">
        <x:v>DYN-SPEC-Q-95</x:v>
      </x:c>
      <x:c r="B762" s="177" t="str">
        <x:v>base 2028 pluggable-800g 800G数量</x:v>
      </x:c>
      <x:c r="C762" s="230" t="n">
        <x:f>'规格明细'!G95</x:f>
        <x:v>500000000</x:v>
      </x:c>
      <x:c r="D762" s="230" t="n">
        <x:f>'规格明细'!D95*10000*'规格明细'!E95</x:f>
        <x:v>500000000</x:v>
      </x:c>
      <x:c r="E762" s="230" t="n">
        <x:f>C762-D762</x:f>
        <x:v>0</x:v>
      </x:c>
      <x:c r="F762" s="177" t="str">
        <x:f>IF(ABS(E762)&lt;0.000001,"PASS","FAIL")</x:f>
        <x:v>PASS</x:v>
      </x:c>
      <x:c r="G762" s="177" t="str">
        <x:v>出货量×单位用量</x:v>
      </x:c>
      <x:c r="H762" s="184"/>
    </x:row>
    <x:row r="763">
      <x:c r="A763" s="177" t="str">
        <x:v>DYN-SPEC-TAM-95</x:v>
      </x:c>
      <x:c r="B763" s="177" t="str">
        <x:v>base 2028 pluggable-800g 800G空间</x:v>
      </x:c>
      <x:c r="C763" s="230" t="n">
        <x:f>'规格明细'!K95</x:f>
        <x:v>16.2</x:v>
      </x:c>
      <x:c r="D763" s="230" t="n">
        <x:f>'规格明细'!G95*'规格明细'!I95/100000000</x:f>
        <x:v>16.2</x:v>
      </x:c>
      <x:c r="E763" s="230" t="n">
        <x:f>C763-D763</x:f>
        <x:v>0</x:v>
      </x:c>
      <x:c r="F763" s="177" t="str">
        <x:f>IF(ABS(E763)&lt;0.000001,"PASS","FAIL")</x:f>
        <x:v>PASS</x:v>
      </x:c>
      <x:c r="G763" s="177" t="str">
        <x:v>组件数量×价格</x:v>
      </x:c>
      <x:c r="H763" s="184"/>
    </x:row>
    <x:row r="764">
      <x:c r="A764" s="177" t="str">
        <x:v>DYN-SPEC-REV-95</x:v>
      </x:c>
      <x:c r="B764" s="177" t="str">
        <x:v>base 2028 pluggable-800g 800G理论收入</x:v>
      </x:c>
      <x:c r="C764" s="230" t="n">
        <x:f>'规格明细'!L95</x:f>
        <x:v>1.62</x:v>
      </x:c>
      <x:c r="D764" s="230" t="n">
        <x:f>'规格明细'!K95*'规格明细'!J95</x:f>
        <x:v>1.62</x:v>
      </x:c>
      <x:c r="E764" s="230" t="n">
        <x:f>C764-D764</x:f>
        <x:v>0</x:v>
      </x:c>
      <x:c r="F764" s="177" t="str">
        <x:f>IF(ABS(E764)&lt;0.000001,"PASS","FAIL")</x:f>
        <x:v>PASS</x:v>
      </x:c>
      <x:c r="G764" s="177" t="str">
        <x:v>份额只乘一次</x:v>
      </x:c>
      <x:c r="H764" s="184"/>
    </x:row>
    <x:row r="765">
      <x:c r="A765" s="177" t="str">
        <x:v>DYN-SPEC-Q-96</x:v>
      </x:c>
      <x:c r="B765" s="177" t="str">
        <x:v>base 2028 pluggable-1p6t 1.6T数量</x:v>
      </x:c>
      <x:c r="C765" s="230" t="n">
        <x:f>'规格明细'!G96</x:f>
        <x:v>1050000000</x:v>
      </x:c>
      <x:c r="D765" s="230" t="n">
        <x:f>'规格明细'!D96*10000*'规格明细'!E96</x:f>
        <x:v>1050000000</x:v>
      </x:c>
      <x:c r="E765" s="230" t="n">
        <x:f>C765-D765</x:f>
        <x:v>0</x:v>
      </x:c>
      <x:c r="F765" s="177" t="str">
        <x:f>IF(ABS(E765)&lt;0.000001,"PASS","FAIL")</x:f>
        <x:v>PASS</x:v>
      </x:c>
      <x:c r="G765" s="177" t="str">
        <x:v>出货量×单位用量</x:v>
      </x:c>
      <x:c r="H765" s="184"/>
    </x:row>
    <x:row r="766">
      <x:c r="A766" s="177" t="str">
        <x:v>DYN-SPEC-TAM-96</x:v>
      </x:c>
      <x:c r="B766" s="177" t="str">
        <x:v>base 2028 pluggable-1p6t 1.6T空间</x:v>
      </x:c>
      <x:c r="C766" s="230" t="n">
        <x:f>'规格明细'!K96</x:f>
        <x:v>47.628</x:v>
      </x:c>
      <x:c r="D766" s="230" t="n">
        <x:f>'规格明细'!G96*'规格明细'!I96/100000000</x:f>
        <x:v>47.628</x:v>
      </x:c>
      <x:c r="E766" s="230" t="n">
        <x:f>C766-D766</x:f>
        <x:v>0</x:v>
      </x:c>
      <x:c r="F766" s="177" t="str">
        <x:f>IF(ABS(E766)&lt;0.000001,"PASS","FAIL")</x:f>
        <x:v>PASS</x:v>
      </x:c>
      <x:c r="G766" s="177" t="str">
        <x:v>组件数量×价格</x:v>
      </x:c>
      <x:c r="H766" s="184"/>
    </x:row>
    <x:row r="767">
      <x:c r="A767" s="177" t="str">
        <x:v>DYN-SPEC-REV-96</x:v>
      </x:c>
      <x:c r="B767" s="177" t="str">
        <x:v>base 2028 pluggable-1p6t 1.6T理论收入</x:v>
      </x:c>
      <x:c r="C767" s="230" t="n">
        <x:f>'规格明细'!L96</x:f>
        <x:v>4.7628</x:v>
      </x:c>
      <x:c r="D767" s="230" t="n">
        <x:f>'规格明细'!K96*'规格明细'!J96</x:f>
        <x:v>4.7628</x:v>
      </x:c>
      <x:c r="E767" s="230" t="n">
        <x:f>C767-D767</x:f>
        <x:v>0</x:v>
      </x:c>
      <x:c r="F767" s="177" t="str">
        <x:f>IF(ABS(E767)&lt;0.000001,"PASS","FAIL")</x:f>
        <x:v>PASS</x:v>
      </x:c>
      <x:c r="G767" s="177" t="str">
        <x:v>份额只乘一次</x:v>
      </x:c>
      <x:c r="H767" s="184"/>
    </x:row>
    <x:row r="768">
      <x:c r="A768" s="177" t="str">
        <x:v>DYN-SPEC-Q-97</x:v>
      </x:c>
      <x:c r="B768" s="177" t="str">
        <x:v>base 2028 ocs 小端口参考系统数量</x:v>
      </x:c>
      <x:c r="C768" s="230" t="n">
        <x:f>'规格明细'!G97</x:f>
        <x:v>23040000</x:v>
      </x:c>
      <x:c r="D768" s="230" t="n">
        <x:f>'规格明细'!D97*10000*'规格明细'!E97</x:f>
        <x:v>23040000</x:v>
      </x:c>
      <x:c r="E768" s="230" t="n">
        <x:f>C768-D768</x:f>
        <x:v>0</x:v>
      </x:c>
      <x:c r="F768" s="177" t="str">
        <x:f>IF(ABS(E768)&lt;0.000001,"PASS","FAIL")</x:f>
        <x:v>PASS</x:v>
      </x:c>
      <x:c r="G768" s="177" t="str">
        <x:v>出货量×单位用量</x:v>
      </x:c>
      <x:c r="H768" s="184"/>
    </x:row>
    <x:row r="769">
      <x:c r="A769" s="177" t="str">
        <x:v>DYN-SPEC-TAM-97</x:v>
      </x:c>
      <x:c r="B769" s="177" t="str">
        <x:v>base 2028 ocs 小端口参考系统空间</x:v>
      </x:c>
      <x:c r="C769" s="230" t="n">
        <x:f>'规格明细'!K97</x:f>
        <x:v>3.3177599999999994</x:v>
      </x:c>
      <x:c r="D769" s="230" t="n">
        <x:f>'规格明细'!G97*'规格明细'!I97/100000000</x:f>
        <x:v>3.3177599999999994</x:v>
      </x:c>
      <x:c r="E769" s="230" t="n">
        <x:f>C769-D769</x:f>
        <x:v>0</x:v>
      </x:c>
      <x:c r="F769" s="177" t="str">
        <x:f>IF(ABS(E769)&lt;0.000001,"PASS","FAIL")</x:f>
        <x:v>PASS</x:v>
      </x:c>
      <x:c r="G769" s="177" t="str">
        <x:v>组件数量×价格</x:v>
      </x:c>
      <x:c r="H769" s="184"/>
    </x:row>
    <x:row r="770">
      <x:c r="A770" s="177" t="str">
        <x:v>DYN-SPEC-REV-97</x:v>
      </x:c>
      <x:c r="B770" s="177" t="str">
        <x:v>base 2028 ocs 小端口参考系统理论收入</x:v>
      </x:c>
      <x:c r="C770" s="230" t="n">
        <x:f>'规格明细'!L97</x:f>
        <x:v>2.6542079999999997</x:v>
      </x:c>
      <x:c r="D770" s="230" t="n">
        <x:f>'规格明细'!K97*'规格明细'!J97</x:f>
        <x:v>2.6542079999999997</x:v>
      </x:c>
      <x:c r="E770" s="230" t="n">
        <x:f>C770-D770</x:f>
        <x:v>0</x:v>
      </x:c>
      <x:c r="F770" s="177" t="str">
        <x:f>IF(ABS(E770)&lt;0.000001,"PASS","FAIL")</x:f>
        <x:v>PASS</x:v>
      </x:c>
      <x:c r="G770" s="177" t="str">
        <x:v>份额只乘一次</x:v>
      </x:c>
      <x:c r="H770" s="184"/>
    </x:row>
    <x:row r="771">
      <x:c r="A771" s="177" t="str">
        <x:v>DYN-SPEC-Q-98</x:v>
      </x:c>
      <x:c r="B771" s="177" t="str">
        <x:v>base 2028 ocs 大端口320×320数量</x:v>
      </x:c>
      <x:c r="C771" s="230" t="n">
        <x:f>'规格明细'!G98</x:f>
        <x:v>70400000</x:v>
      </x:c>
      <x:c r="D771" s="230" t="n">
        <x:f>'规格明细'!D98*10000*'规格明细'!E98</x:f>
        <x:v>70400000</x:v>
      </x:c>
      <x:c r="E771" s="230" t="n">
        <x:f>C771-D771</x:f>
        <x:v>0</x:v>
      </x:c>
      <x:c r="F771" s="177" t="str">
        <x:f>IF(ABS(E771)&lt;0.000001,"PASS","FAIL")</x:f>
        <x:v>PASS</x:v>
      </x:c>
      <x:c r="G771" s="177" t="str">
        <x:v>出货量×单位用量</x:v>
      </x:c>
      <x:c r="H771" s="184"/>
    </x:row>
    <x:row r="772">
      <x:c r="A772" s="177" t="str">
        <x:v>DYN-SPEC-TAM-98</x:v>
      </x:c>
      <x:c r="B772" s="177" t="str">
        <x:v>base 2028 ocs 大端口320×320空间</x:v>
      </x:c>
      <x:c r="C772" s="230" t="n">
        <x:f>'规格明细'!K98</x:f>
        <x:v>20.275199999999998</x:v>
      </x:c>
      <x:c r="D772" s="230" t="n">
        <x:f>'规格明细'!G98*'规格明细'!I98/100000000</x:f>
        <x:v>20.275199999999998</x:v>
      </x:c>
      <x:c r="E772" s="230" t="n">
        <x:f>C772-D772</x:f>
        <x:v>0</x:v>
      </x:c>
      <x:c r="F772" s="177" t="str">
        <x:f>IF(ABS(E772)&lt;0.000001,"PASS","FAIL")</x:f>
        <x:v>PASS</x:v>
      </x:c>
      <x:c r="G772" s="177" t="str">
        <x:v>组件数量×价格</x:v>
      </x:c>
      <x:c r="H772" s="184"/>
    </x:row>
    <x:row r="773">
      <x:c r="A773" s="177" t="str">
        <x:v>DYN-SPEC-REV-98</x:v>
      </x:c>
      <x:c r="B773" s="177" t="str">
        <x:v>base 2028 ocs 大端口320×320理论收入</x:v>
      </x:c>
      <x:c r="C773" s="230" t="n">
        <x:f>'规格明细'!L98</x:f>
        <x:v>17.23392</x:v>
      </x:c>
      <x:c r="D773" s="230" t="n">
        <x:f>'规格明细'!K98*'规格明细'!J98</x:f>
        <x:v>17.23392</x:v>
      </x:c>
      <x:c r="E773" s="230" t="n">
        <x:f>C773-D773</x:f>
        <x:v>0</x:v>
      </x:c>
      <x:c r="F773" s="177" t="str">
        <x:f>IF(ABS(E773)&lt;0.000001,"PASS","FAIL")</x:f>
        <x:v>PASS</x:v>
      </x:c>
      <x:c r="G773" s="177" t="str">
        <x:v>份额只乘一次</x:v>
      </x:c>
      <x:c r="H773" s="184"/>
    </x:row>
    <x:row r="774">
      <x:c r="A774" s="177" t="str">
        <x:v>DYN-SPEC-Q-99</x:v>
      </x:c>
      <x:c r="B774" s="177" t="str">
        <x:v>base 2028 vGroove 102.4T数量</x:v>
      </x:c>
      <x:c r="C774" s="230" t="n">
        <x:f>'规格明细'!G99</x:f>
        <x:v>345600000</x:v>
      </x:c>
      <x:c r="D774" s="230" t="n">
        <x:f>'规格明细'!D99*10000*'规格明细'!E99</x:f>
        <x:v>345600000</x:v>
      </x:c>
      <x:c r="E774" s="230" t="n">
        <x:f>C774-D774</x:f>
        <x:v>0</x:v>
      </x:c>
      <x:c r="F774" s="177" t="str">
        <x:f>IF(ABS(E774)&lt;0.000001,"PASS","FAIL")</x:f>
        <x:v>PASS</x:v>
      </x:c>
      <x:c r="G774" s="177" t="str">
        <x:v>出货量×单位用量</x:v>
      </x:c>
      <x:c r="H774" s="184"/>
    </x:row>
    <x:row r="775">
      <x:c r="A775" s="177" t="str">
        <x:v>DYN-SPEC-TAM-99</x:v>
      </x:c>
      <x:c r="B775" s="177" t="str">
        <x:v>base 2028 vGroove 102.4T空间</x:v>
      </x:c>
      <x:c r="C775" s="230" t="n">
        <x:f>'规格明细'!K99</x:f>
        <x:v>22.295347199999995</x:v>
      </x:c>
      <x:c r="D775" s="230" t="n">
        <x:f>'规格明细'!G99*'规格明细'!I99/100000000</x:f>
        <x:v>22.295347199999995</x:v>
      </x:c>
      <x:c r="E775" s="230" t="n">
        <x:f>C775-D775</x:f>
        <x:v>0</x:v>
      </x:c>
      <x:c r="F775" s="177" t="str">
        <x:f>IF(ABS(E775)&lt;0.000001,"PASS","FAIL")</x:f>
        <x:v>PASS</x:v>
      </x:c>
      <x:c r="G775" s="177" t="str">
        <x:v>组件数量×价格</x:v>
      </x:c>
      <x:c r="H775" s="184"/>
    </x:row>
    <x:row r="776">
      <x:c r="A776" s="177" t="str">
        <x:v>DYN-SPEC-REV-99</x:v>
      </x:c>
      <x:c r="B776" s="177" t="str">
        <x:v>base 2028 vGroove 102.4T理论收入</x:v>
      </x:c>
      <x:c r="C776" s="230" t="n">
        <x:f>'规格明细'!L99</x:f>
        <x:v>12.262440959999998</x:v>
      </x:c>
      <x:c r="D776" s="230" t="n">
        <x:f>'规格明细'!K99*'规格明细'!J99</x:f>
        <x:v>12.262440959999998</x:v>
      </x:c>
      <x:c r="E776" s="230" t="n">
        <x:f>C776-D776</x:f>
        <x:v>0</x:v>
      </x:c>
      <x:c r="F776" s="177" t="str">
        <x:f>IF(ABS(E776)&lt;0.000001,"PASS","FAIL")</x:f>
        <x:v>PASS</x:v>
      </x:c>
      <x:c r="G776" s="177" t="str">
        <x:v>份额只乘一次</x:v>
      </x:c>
      <x:c r="H776" s="184"/>
    </x:row>
    <x:row r="777">
      <x:c r="A777" s="177" t="str">
        <x:v>DYN-SPEC-Q-100</x:v>
      </x:c>
      <x:c r="B777" s="177" t="str">
        <x:v>base 2028 vGroove 204.8T数量</x:v>
      </x:c>
      <x:c r="C777" s="230" t="n">
        <x:f>'规格明细'!G100</x:f>
        <x:v>460800000</x:v>
      </x:c>
      <x:c r="D777" s="230" t="n">
        <x:f>'规格明细'!D100*10000*'规格明细'!E100</x:f>
        <x:v>460800000</x:v>
      </x:c>
      <x:c r="E777" s="230" t="n">
        <x:f>C777-D777</x:f>
        <x:v>0</x:v>
      </x:c>
      <x:c r="F777" s="177" t="str">
        <x:f>IF(ABS(E777)&lt;0.000001,"PASS","FAIL")</x:f>
        <x:v>PASS</x:v>
      </x:c>
      <x:c r="G777" s="177" t="str">
        <x:v>出货量×单位用量</x:v>
      </x:c>
      <x:c r="H777" s="184"/>
    </x:row>
    <x:row r="778">
      <x:c r="A778" s="177" t="str">
        <x:v>DYN-SPEC-TAM-100</x:v>
      </x:c>
      <x:c r="B778" s="177" t="str">
        <x:v>base 2028 vGroove 204.8T空间</x:v>
      </x:c>
      <x:c r="C778" s="230" t="n">
        <x:f>'规格明细'!K100</x:f>
        <x:v>37.158912</x:v>
      </x:c>
      <x:c r="D778" s="230" t="n">
        <x:f>'规格明细'!G100*'规格明细'!I100/100000000</x:f>
        <x:v>37.158912</x:v>
      </x:c>
      <x:c r="E778" s="230" t="n">
        <x:f>C778-D778</x:f>
        <x:v>0</x:v>
      </x:c>
      <x:c r="F778" s="177" t="str">
        <x:f>IF(ABS(E778)&lt;0.000001,"PASS","FAIL")</x:f>
        <x:v>PASS</x:v>
      </x:c>
      <x:c r="G778" s="177" t="str">
        <x:v>组件数量×价格</x:v>
      </x:c>
      <x:c r="H778" s="184"/>
    </x:row>
    <x:row r="779">
      <x:c r="A779" s="177" t="str">
        <x:v>DYN-SPEC-REV-100</x:v>
      </x:c>
      <x:c r="B779" s="177" t="str">
        <x:v>base 2028 vGroove 204.8T理论收入</x:v>
      </x:c>
      <x:c r="C779" s="230" t="n">
        <x:f>'规格明细'!L100</x:f>
        <x:v>22.295347200000005</x:v>
      </x:c>
      <x:c r="D779" s="230" t="n">
        <x:f>'规格明细'!K100*'规格明细'!J100</x:f>
        <x:v>22.295347200000005</x:v>
      </x:c>
      <x:c r="E779" s="230" t="n">
        <x:f>C779-D779</x:f>
        <x:v>0</x:v>
      </x:c>
      <x:c r="F779" s="177" t="str">
        <x:f>IF(ABS(E779)&lt;0.000001,"PASS","FAIL")</x:f>
        <x:v>PASS</x:v>
      </x:c>
      <x:c r="G779" s="177" t="str">
        <x:v>份额只乘一次</x:v>
      </x:c>
      <x:c r="H779" s="184"/>
    </x:row>
    <x:row r="780">
      <x:c r="A780" s="177" t="str">
        <x:v>DYN-SPEC-Q-101</x:v>
      </x:c>
      <x:c r="B780" s="177" t="str">
        <x:v>base 2028 fauPrism 102.4T数量</x:v>
      </x:c>
      <x:c r="C780" s="230" t="n">
        <x:f>'规格明细'!G101</x:f>
        <x:v>345600000</x:v>
      </x:c>
      <x:c r="D780" s="230" t="n">
        <x:f>'规格明细'!D101*10000*'规格明细'!E101</x:f>
        <x:v>345600000</x:v>
      </x:c>
      <x:c r="E780" s="230" t="n">
        <x:f>C780-D780</x:f>
        <x:v>0</x:v>
      </x:c>
      <x:c r="F780" s="177" t="str">
        <x:f>IF(ABS(E780)&lt;0.000001,"PASS","FAIL")</x:f>
        <x:v>PASS</x:v>
      </x:c>
      <x:c r="G780" s="177" t="str">
        <x:v>出货量×单位用量</x:v>
      </x:c>
      <x:c r="H780" s="184"/>
    </x:row>
    <x:row r="781">
      <x:c r="A781" s="177" t="str">
        <x:v>DYN-SPEC-TAM-101</x:v>
      </x:c>
      <x:c r="B781" s="177" t="str">
        <x:v>base 2028 fauPrism 102.4T空间</x:v>
      </x:c>
      <x:c r="C781" s="230" t="n">
        <x:f>'规格明细'!K101</x:f>
        <x:v>31.850495999999996</x:v>
      </x:c>
      <x:c r="D781" s="230" t="n">
        <x:f>'规格明细'!G101*'规格明细'!I101/100000000</x:f>
        <x:v>31.850495999999996</x:v>
      </x:c>
      <x:c r="E781" s="230" t="n">
        <x:f>C781-D781</x:f>
        <x:v>0</x:v>
      </x:c>
      <x:c r="F781" s="177" t="str">
        <x:f>IF(ABS(E781)&lt;0.000001,"PASS","FAIL")</x:f>
        <x:v>PASS</x:v>
      </x:c>
      <x:c r="G781" s="177" t="str">
        <x:v>组件数量×价格</x:v>
      </x:c>
      <x:c r="H781" s="184"/>
    </x:row>
    <x:row r="782">
      <x:c r="A782" s="177" t="str">
        <x:v>DYN-SPEC-REV-101</x:v>
      </x:c>
      <x:c r="B782" s="177" t="str">
        <x:v>base 2028 fauPrism 102.4T理论收入</x:v>
      </x:c>
      <x:c r="C782" s="230" t="n">
        <x:f>'规格明细'!L101</x:f>
        <x:v>14.332723199999998</x:v>
      </x:c>
      <x:c r="D782" s="230" t="n">
        <x:f>'规格明细'!K101*'规格明细'!J101</x:f>
        <x:v>14.332723199999998</x:v>
      </x:c>
      <x:c r="E782" s="230" t="n">
        <x:f>C782-D782</x:f>
        <x:v>0</x:v>
      </x:c>
      <x:c r="F782" s="177" t="str">
        <x:f>IF(ABS(E782)&lt;0.000001,"PASS","FAIL")</x:f>
        <x:v>PASS</x:v>
      </x:c>
      <x:c r="G782" s="177" t="str">
        <x:v>份额只乘一次</x:v>
      </x:c>
      <x:c r="H782" s="184"/>
    </x:row>
    <x:row r="783">
      <x:c r="A783" s="177" t="str">
        <x:v>DYN-SPEC-Q-102</x:v>
      </x:c>
      <x:c r="B783" s="177" t="str">
        <x:v>base 2028 fauPrism 204.8T数量</x:v>
      </x:c>
      <x:c r="C783" s="230" t="n">
        <x:f>'规格明细'!G102</x:f>
        <x:v>460800000</x:v>
      </x:c>
      <x:c r="D783" s="230" t="n">
        <x:f>'规格明细'!D102*10000*'规格明细'!E102</x:f>
        <x:v>460800000</x:v>
      </x:c>
      <x:c r="E783" s="230" t="n">
        <x:f>C783-D783</x:f>
        <x:v>0</x:v>
      </x:c>
      <x:c r="F783" s="177" t="str">
        <x:f>IF(ABS(E783)&lt;0.000001,"PASS","FAIL")</x:f>
        <x:v>PASS</x:v>
      </x:c>
      <x:c r="G783" s="177" t="str">
        <x:v>出货量×单位用量</x:v>
      </x:c>
      <x:c r="H783" s="184"/>
    </x:row>
    <x:row r="784">
      <x:c r="A784" s="177" t="str">
        <x:v>DYN-SPEC-TAM-102</x:v>
      </x:c>
      <x:c r="B784" s="177" t="str">
        <x:v>base 2028 fauPrism 204.8T空间</x:v>
      </x:c>
      <x:c r="C784" s="230" t="n">
        <x:f>'规格明细'!K102</x:f>
        <x:v>53.08416</x:v>
      </x:c>
      <x:c r="D784" s="230" t="n">
        <x:f>'规格明细'!G102*'规格明细'!I102/100000000</x:f>
        <x:v>53.08416</x:v>
      </x:c>
      <x:c r="E784" s="230" t="n">
        <x:f>C784-D784</x:f>
        <x:v>0</x:v>
      </x:c>
      <x:c r="F784" s="177" t="str">
        <x:f>IF(ABS(E784)&lt;0.000001,"PASS","FAIL")</x:f>
        <x:v>PASS</x:v>
      </x:c>
      <x:c r="G784" s="177" t="str">
        <x:v>组件数量×价格</x:v>
      </x:c>
      <x:c r="H784" s="184"/>
    </x:row>
    <x:row r="785">
      <x:c r="A785" s="177" t="str">
        <x:v>DYN-SPEC-REV-102</x:v>
      </x:c>
      <x:c r="B785" s="177" t="str">
        <x:v>base 2028 fauPrism 204.8T理论收入</x:v>
      </x:c>
      <x:c r="C785" s="230" t="n">
        <x:f>'规格明细'!L102</x:f>
        <x:v>23.887871999999998</x:v>
      </x:c>
      <x:c r="D785" s="230" t="n">
        <x:f>'规格明细'!K102*'规格明细'!J102</x:f>
        <x:v>23.887871999999998</x:v>
      </x:c>
      <x:c r="E785" s="230" t="n">
        <x:f>C785-D785</x:f>
        <x:v>0</x:v>
      </x:c>
      <x:c r="F785" s="177" t="str">
        <x:f>IF(ABS(E785)&lt;0.000001,"PASS","FAIL")</x:f>
        <x:v>PASS</x:v>
      </x:c>
      <x:c r="G785" s="177" t="str">
        <x:v>份额只乘一次</x:v>
      </x:c>
      <x:c r="H785" s="184"/>
    </x:row>
    <x:row r="786">
      <x:c r="A786" s="177" t="str">
        <x:v>DYN-SPEC-Q-103</x:v>
      </x:c>
      <x:c r="B786" s="177" t="str">
        <x:v>base 2028 externalLaser 102.4T数量</x:v>
      </x:c>
      <x:c r="C786" s="230" t="n">
        <x:f>'规格明细'!G103</x:f>
        <x:v>38400000</x:v>
      </x:c>
      <x:c r="D786" s="230" t="n">
        <x:f>'规格明细'!D103*10000*'规格明细'!E103</x:f>
        <x:v>38400000</x:v>
      </x:c>
      <x:c r="E786" s="230" t="n">
        <x:f>C786-D786</x:f>
        <x:v>0</x:v>
      </x:c>
      <x:c r="F786" s="177" t="str">
        <x:f>IF(ABS(E786)&lt;0.000001,"PASS","FAIL")</x:f>
        <x:v>PASS</x:v>
      </x:c>
      <x:c r="G786" s="177" t="str">
        <x:v>出货量×单位用量</x:v>
      </x:c>
      <x:c r="H786" s="184"/>
    </x:row>
    <x:row r="787">
      <x:c r="A787" s="177" t="str">
        <x:v>DYN-SPEC-TAM-103</x:v>
      </x:c>
      <x:c r="B787" s="177" t="str">
        <x:v>base 2028 externalLaser 102.4T空间</x:v>
      </x:c>
      <x:c r="C787" s="230" t="n">
        <x:f>'规格明细'!K103</x:f>
        <x:v>17.69472</x:v>
      </x:c>
      <x:c r="D787" s="230" t="n">
        <x:f>'规格明细'!G103*'规格明细'!I103/100000000</x:f>
        <x:v>17.69472</x:v>
      </x:c>
      <x:c r="E787" s="230" t="n">
        <x:f>C787-D787</x:f>
        <x:v>0</x:v>
      </x:c>
      <x:c r="F787" s="177" t="str">
        <x:f>IF(ABS(E787)&lt;0.000001,"PASS","FAIL")</x:f>
        <x:v>PASS</x:v>
      </x:c>
      <x:c r="G787" s="177" t="str">
        <x:v>组件数量×价格</x:v>
      </x:c>
      <x:c r="H787" s="184"/>
    </x:row>
    <x:row r="788">
      <x:c r="A788" s="177" t="str">
        <x:v>DYN-SPEC-REV-103</x:v>
      </x:c>
      <x:c r="B788" s="177" t="str">
        <x:v>base 2028 externalLaser 102.4T理论收入</x:v>
      </x:c>
      <x:c r="C788" s="230" t="n">
        <x:f>'规格明细'!L103</x:f>
        <x:v>7.667712000000001</x:v>
      </x:c>
      <x:c r="D788" s="230" t="n">
        <x:f>'规格明细'!K103*'规格明细'!J103</x:f>
        <x:v>7.667712000000001</x:v>
      </x:c>
      <x:c r="E788" s="230" t="n">
        <x:f>C788-D788</x:f>
        <x:v>0</x:v>
      </x:c>
      <x:c r="F788" s="177" t="str">
        <x:f>IF(ABS(E788)&lt;0.000001,"PASS","FAIL")</x:f>
        <x:v>PASS</x:v>
      </x:c>
      <x:c r="G788" s="177" t="str">
        <x:v>份额只乘一次</x:v>
      </x:c>
      <x:c r="H788" s="184"/>
    </x:row>
    <x:row r="789">
      <x:c r="A789" s="177" t="str">
        <x:v>DYN-SPEC-Q-104</x:v>
      </x:c>
      <x:c r="B789" s="177" t="str">
        <x:v>base 2028 externalLaser 204.8T数量</x:v>
      </x:c>
      <x:c r="C789" s="230" t="n">
        <x:f>'规格明细'!G104</x:f>
        <x:v>25600000</x:v>
      </x:c>
      <x:c r="D789" s="230" t="n">
        <x:f>'规格明细'!D104*10000*'规格明细'!E104</x:f>
        <x:v>25600000</x:v>
      </x:c>
      <x:c r="E789" s="230" t="n">
        <x:f>C789-D789</x:f>
        <x:v>0</x:v>
      </x:c>
      <x:c r="F789" s="177" t="str">
        <x:f>IF(ABS(E789)&lt;0.000001,"PASS","FAIL")</x:f>
        <x:v>PASS</x:v>
      </x:c>
      <x:c r="G789" s="177" t="str">
        <x:v>出货量×单位用量</x:v>
      </x:c>
      <x:c r="H789" s="184"/>
    </x:row>
    <x:row r="790">
      <x:c r="A790" s="177" t="str">
        <x:v>DYN-SPEC-TAM-104</x:v>
      </x:c>
      <x:c r="B790" s="177" t="str">
        <x:v>base 2028 externalLaser 204.8T空间</x:v>
      </x:c>
      <x:c r="C790" s="230" t="n">
        <x:f>'规格明细'!K104</x:f>
        <x:v>14.745599999999998</x:v>
      </x:c>
      <x:c r="D790" s="230" t="n">
        <x:f>'规格明细'!G104*'规格明细'!I104/100000000</x:f>
        <x:v>14.745599999999998</x:v>
      </x:c>
      <x:c r="E790" s="230" t="n">
        <x:f>C790-D790</x:f>
        <x:v>0</x:v>
      </x:c>
      <x:c r="F790" s="177" t="str">
        <x:f>IF(ABS(E790)&lt;0.000001,"PASS","FAIL")</x:f>
        <x:v>PASS</x:v>
      </x:c>
      <x:c r="G790" s="177" t="str">
        <x:v>组件数量×价格</x:v>
      </x:c>
      <x:c r="H790" s="184"/>
    </x:row>
    <x:row r="791">
      <x:c r="A791" s="177" t="str">
        <x:v>DYN-SPEC-REV-104</x:v>
      </x:c>
      <x:c r="B791" s="177" t="str">
        <x:v>base 2028 externalLaser 204.8T理论收入</x:v>
      </x:c>
      <x:c r="C791" s="230" t="n">
        <x:f>'规格明细'!L104</x:f>
        <x:v>7.127039999999999</x:v>
      </x:c>
      <x:c r="D791" s="230" t="n">
        <x:f>'规格明细'!K104*'规格明细'!J104</x:f>
        <x:v>7.127039999999999</x:v>
      </x:c>
      <x:c r="E791" s="230" t="n">
        <x:f>C791-D791</x:f>
        <x:v>0</x:v>
      </x:c>
      <x:c r="F791" s="177" t="str">
        <x:f>IF(ABS(E791)&lt;0.000001,"PASS","FAIL")</x:f>
        <x:v>PASS</x:v>
      </x:c>
      <x:c r="G791" s="177" t="str">
        <x:v>份额只乘一次</x:v>
      </x:c>
      <x:c r="H791" s="184"/>
    </x:row>
    <x:row r="792">
      <x:c r="A792" s="177" t="str">
        <x:v>DYN-SPEC-Q-105</x:v>
      </x:c>
      <x:c r="B792" s="177" t="str">
        <x:v>base 2028 equipment 102.4T数量</x:v>
      </x:c>
      <x:c r="C792" s="230" t="n">
        <x:f>'规格明细'!G105</x:f>
        <x:v>9600</x:v>
      </x:c>
      <x:c r="D792" s="230" t="n">
        <x:f>'规格明细'!D105*10000*'规格明细'!E105</x:f>
        <x:v>9600</x:v>
      </x:c>
      <x:c r="E792" s="230" t="n">
        <x:f>C792-D792</x:f>
        <x:v>0</x:v>
      </x:c>
      <x:c r="F792" s="177" t="str">
        <x:f>IF(ABS(E792)&lt;0.000001,"PASS","FAIL")</x:f>
        <x:v>PASS</x:v>
      </x:c>
      <x:c r="G792" s="177" t="str">
        <x:v>出货量×单位用量</x:v>
      </x:c>
      <x:c r="H792" s="184"/>
    </x:row>
    <x:row r="793">
      <x:c r="A793" s="177" t="str">
        <x:v>DYN-SPEC-TAM-105</x:v>
      </x:c>
      <x:c r="B793" s="177" t="str">
        <x:v>base 2028 equipment 102.4T空间</x:v>
      </x:c>
      <x:c r="C793" s="230" t="n">
        <x:f>'规格明细'!K105</x:f>
        <x:v>6.144</x:v>
      </x:c>
      <x:c r="D793" s="230" t="n">
        <x:f>'规格明细'!G105*'规格明细'!I105/100000000</x:f>
        <x:v>6.144</x:v>
      </x:c>
      <x:c r="E793" s="230" t="n">
        <x:f>C793-D793</x:f>
        <x:v>0</x:v>
      </x:c>
      <x:c r="F793" s="177" t="str">
        <x:f>IF(ABS(E793)&lt;0.000001,"PASS","FAIL")</x:f>
        <x:v>PASS</x:v>
      </x:c>
      <x:c r="G793" s="177" t="str">
        <x:v>组件数量×价格</x:v>
      </x:c>
      <x:c r="H793" s="184"/>
    </x:row>
    <x:row r="794">
      <x:c r="A794" s="177" t="str">
        <x:v>DYN-SPEC-REV-105</x:v>
      </x:c>
      <x:c r="B794" s="177" t="str">
        <x:v>base 2028 equipment 102.4T理论收入</x:v>
      </x:c>
      <x:c r="C794" s="230" t="n">
        <x:f>'规格明细'!L105</x:f>
        <x:v>2.7648</x:v>
      </x:c>
      <x:c r="D794" s="230" t="n">
        <x:f>'规格明细'!K105*'规格明细'!J105</x:f>
        <x:v>2.7648</x:v>
      </x:c>
      <x:c r="E794" s="230" t="n">
        <x:f>C794-D794</x:f>
        <x:v>0</x:v>
      </x:c>
      <x:c r="F794" s="177" t="str">
        <x:f>IF(ABS(E794)&lt;0.000001,"PASS","FAIL")</x:f>
        <x:v>PASS</x:v>
      </x:c>
      <x:c r="G794" s="177" t="str">
        <x:v>份额只乘一次</x:v>
      </x:c>
      <x:c r="H794" s="184"/>
    </x:row>
    <x:row r="795">
      <x:c r="A795" s="177" t="str">
        <x:v>DYN-SPEC-Q-106</x:v>
      </x:c>
      <x:c r="B795" s="177" t="str">
        <x:v>base 2028 equipment 204.8T数量</x:v>
      </x:c>
      <x:c r="C795" s="230" t="n">
        <x:f>'规格明细'!G106</x:f>
        <x:v>6400</x:v>
      </x:c>
      <x:c r="D795" s="230" t="n">
        <x:f>'规格明细'!D106*10000*'规格明细'!E106</x:f>
        <x:v>6400</x:v>
      </x:c>
      <x:c r="E795" s="230" t="n">
        <x:f>C795-D795</x:f>
        <x:v>0</x:v>
      </x:c>
      <x:c r="F795" s="177" t="str">
        <x:f>IF(ABS(E795)&lt;0.000001,"PASS","FAIL")</x:f>
        <x:v>PASS</x:v>
      </x:c>
      <x:c r="G795" s="177" t="str">
        <x:v>出货量×单位用量</x:v>
      </x:c>
      <x:c r="H795" s="184"/>
    </x:row>
    <x:row r="796">
      <x:c r="A796" s="177" t="str">
        <x:v>DYN-SPEC-TAM-106</x:v>
      </x:c>
      <x:c r="B796" s="177" t="str">
        <x:v>base 2028 equipment 204.8T空间</x:v>
      </x:c>
      <x:c r="C796" s="230" t="n">
        <x:f>'规格明细'!K106</x:f>
        <x:v>5.12</x:v>
      </x:c>
      <x:c r="D796" s="230" t="n">
        <x:f>'规格明细'!G106*'规格明细'!I106/100000000</x:f>
        <x:v>5.12</x:v>
      </x:c>
      <x:c r="E796" s="230" t="n">
        <x:f>C796-D796</x:f>
        <x:v>0</x:v>
      </x:c>
      <x:c r="F796" s="177" t="str">
        <x:f>IF(ABS(E796)&lt;0.000001,"PASS","FAIL")</x:f>
        <x:v>PASS</x:v>
      </x:c>
      <x:c r="G796" s="177" t="str">
        <x:v>组件数量×价格</x:v>
      </x:c>
      <x:c r="H796" s="184"/>
    </x:row>
    <x:row r="797">
      <x:c r="A797" s="177" t="str">
        <x:v>DYN-SPEC-REV-106</x:v>
      </x:c>
      <x:c r="B797" s="177" t="str">
        <x:v>base 2028 equipment 204.8T理论收入</x:v>
      </x:c>
      <x:c r="C797" s="230" t="n">
        <x:f>'规格明细'!L106</x:f>
        <x:v>2.56</x:v>
      </x:c>
      <x:c r="D797" s="230" t="n">
        <x:f>'规格明细'!K106*'规格明细'!J106</x:f>
        <x:v>2.56</x:v>
      </x:c>
      <x:c r="E797" s="230" t="n">
        <x:f>C797-D797</x:f>
        <x:v>0</x:v>
      </x:c>
      <x:c r="F797" s="177" t="str">
        <x:f>IF(ABS(E797)&lt;0.000001,"PASS","FAIL")</x:f>
        <x:v>PASS</x:v>
      </x:c>
      <x:c r="G797" s="177" t="str">
        <x:v>份额只乘一次</x:v>
      </x:c>
      <x:c r="H797" s="184"/>
    </x:row>
    <x:row r="798">
      <x:c r="A798" s="177" t="str">
        <x:v>DYN-SPEC-Q-107</x:v>
      </x:c>
      <x:c r="B798" s="177" t="str">
        <x:v>base 2029 pluggable-800g 800G数量</x:v>
      </x:c>
      <x:c r="C798" s="230" t="n">
        <x:f>'规格明细'!G107</x:f>
        <x:v>320000000</x:v>
      </x:c>
      <x:c r="D798" s="230" t="n">
        <x:f>'规格明细'!D107*10000*'规格明细'!E107</x:f>
        <x:v>320000000</x:v>
      </x:c>
      <x:c r="E798" s="230" t="n">
        <x:f>C798-D798</x:f>
        <x:v>0</x:v>
      </x:c>
      <x:c r="F798" s="177" t="str">
        <x:f>IF(ABS(E798)&lt;0.000001,"PASS","FAIL")</x:f>
        <x:v>PASS</x:v>
      </x:c>
      <x:c r="G798" s="177" t="str">
        <x:v>出货量×单位用量</x:v>
      </x:c>
      <x:c r="H798" s="184"/>
    </x:row>
    <x:row r="799">
      <x:c r="A799" s="177" t="str">
        <x:v>DYN-SPEC-TAM-107</x:v>
      </x:c>
      <x:c r="B799" s="177" t="str">
        <x:v>base 2029 pluggable-800g 800G空间</x:v>
      </x:c>
      <x:c r="C799" s="230" t="n">
        <x:f>'规格明细'!K107</x:f>
        <x:v>9.3312</x:v>
      </x:c>
      <x:c r="D799" s="230" t="n">
        <x:f>'规格明细'!G107*'规格明细'!I107/100000000</x:f>
        <x:v>9.3312</x:v>
      </x:c>
      <x:c r="E799" s="230" t="n">
        <x:f>C799-D799</x:f>
        <x:v>0</x:v>
      </x:c>
      <x:c r="F799" s="177" t="str">
        <x:f>IF(ABS(E799)&lt;0.000001,"PASS","FAIL")</x:f>
        <x:v>PASS</x:v>
      </x:c>
      <x:c r="G799" s="177" t="str">
        <x:v>组件数量×价格</x:v>
      </x:c>
      <x:c r="H799" s="184"/>
    </x:row>
    <x:row r="800">
      <x:c r="A800" s="177" t="str">
        <x:v>DYN-SPEC-REV-107</x:v>
      </x:c>
      <x:c r="B800" s="177" t="str">
        <x:v>base 2029 pluggable-800g 800G理论收入</x:v>
      </x:c>
      <x:c r="C800" s="230" t="n">
        <x:f>'规格明细'!L107</x:f>
        <x:v>0.9331200000000002</x:v>
      </x:c>
      <x:c r="D800" s="230" t="n">
        <x:f>'规格明细'!K107*'规格明细'!J107</x:f>
        <x:v>0.9331200000000002</x:v>
      </x:c>
      <x:c r="E800" s="230" t="n">
        <x:f>C800-D800</x:f>
        <x:v>0</x:v>
      </x:c>
      <x:c r="F800" s="177" t="str">
        <x:f>IF(ABS(E800)&lt;0.000001,"PASS","FAIL")</x:f>
        <x:v>PASS</x:v>
      </x:c>
      <x:c r="G800" s="177" t="str">
        <x:v>份额只乘一次</x:v>
      </x:c>
      <x:c r="H800" s="184"/>
    </x:row>
    <x:row r="801">
      <x:c r="A801" s="177" t="str">
        <x:v>DYN-SPEC-Q-108</x:v>
      </x:c>
      <x:c r="B801" s="177" t="str">
        <x:v>base 2029 pluggable-1p6t 1.6T数量</x:v>
      </x:c>
      <x:c r="C801" s="230" t="n">
        <x:f>'规格明细'!G108</x:f>
        <x:v>1450000000</x:v>
      </x:c>
      <x:c r="D801" s="230" t="n">
        <x:f>'规格明细'!D108*10000*'规格明细'!E108</x:f>
        <x:v>1450000000</x:v>
      </x:c>
      <x:c r="E801" s="230" t="n">
        <x:f>C801-D801</x:f>
        <x:v>0</x:v>
      </x:c>
      <x:c r="F801" s="177" t="str">
        <x:f>IF(ABS(E801)&lt;0.000001,"PASS","FAIL")</x:f>
        <x:v>PASS</x:v>
      </x:c>
      <x:c r="G801" s="177" t="str">
        <x:v>出货量×单位用量</x:v>
      </x:c>
      <x:c r="H801" s="184"/>
    </x:row>
    <x:row r="802">
      <x:c r="A802" s="177" t="str">
        <x:v>DYN-SPEC-TAM-108</x:v>
      </x:c>
      <x:c r="B802" s="177" t="str">
        <x:v>base 2029 pluggable-1p6t 1.6T空间</x:v>
      </x:c>
      <x:c r="C802" s="230" t="n">
        <x:f>'规格明细'!K108</x:f>
        <x:v>59.1948</x:v>
      </x:c>
      <x:c r="D802" s="230" t="n">
        <x:f>'规格明细'!G108*'规格明细'!I108/100000000</x:f>
        <x:v>59.1948</x:v>
      </x:c>
      <x:c r="E802" s="230" t="n">
        <x:f>C802-D802</x:f>
        <x:v>0</x:v>
      </x:c>
      <x:c r="F802" s="177" t="str">
        <x:f>IF(ABS(E802)&lt;0.000001,"PASS","FAIL")</x:f>
        <x:v>PASS</x:v>
      </x:c>
      <x:c r="G802" s="177" t="str">
        <x:v>组件数量×价格</x:v>
      </x:c>
      <x:c r="H802" s="184"/>
    </x:row>
    <x:row r="803">
      <x:c r="A803" s="177" t="str">
        <x:v>DYN-SPEC-REV-108</x:v>
      </x:c>
      <x:c r="B803" s="177" t="str">
        <x:v>base 2029 pluggable-1p6t 1.6T理论收入</x:v>
      </x:c>
      <x:c r="C803" s="230" t="n">
        <x:f>'规格明细'!L108</x:f>
        <x:v>5.91948</x:v>
      </x:c>
      <x:c r="D803" s="230" t="n">
        <x:f>'规格明细'!K108*'规格明细'!J108</x:f>
        <x:v>5.91948</x:v>
      </x:c>
      <x:c r="E803" s="230" t="n">
        <x:f>C803-D803</x:f>
        <x:v>0</x:v>
      </x:c>
      <x:c r="F803" s="177" t="str">
        <x:f>IF(ABS(E803)&lt;0.000001,"PASS","FAIL")</x:f>
        <x:v>PASS</x:v>
      </x:c>
      <x:c r="G803" s="177" t="str">
        <x:v>份额只乘一次</x:v>
      </x:c>
      <x:c r="H803" s="184"/>
    </x:row>
    <x:row r="804">
      <x:c r="A804" s="177" t="str">
        <x:v>DYN-SPEC-Q-109</x:v>
      </x:c>
      <x:c r="B804" s="177" t="str">
        <x:v>base 2029 ocs 小端口参考系统数量</x:v>
      </x:c>
      <x:c r="C804" s="230" t="n">
        <x:f>'规格明细'!G109</x:f>
        <x:v>28672000</x:v>
      </x:c>
      <x:c r="D804" s="230" t="n">
        <x:f>'规格明细'!D109*10000*'规格明细'!E109</x:f>
        <x:v>28672000</x:v>
      </x:c>
      <x:c r="E804" s="230" t="n">
        <x:f>C804-D804</x:f>
        <x:v>0</x:v>
      </x:c>
      <x:c r="F804" s="177" t="str">
        <x:f>IF(ABS(E804)&lt;0.000001,"PASS","FAIL")</x:f>
        <x:v>PASS</x:v>
      </x:c>
      <x:c r="G804" s="177" t="str">
        <x:v>出货量×单位用量</x:v>
      </x:c>
      <x:c r="H804" s="184"/>
    </x:row>
    <x:row r="805">
      <x:c r="A805" s="177" t="str">
        <x:v>DYN-SPEC-TAM-109</x:v>
      </x:c>
      <x:c r="B805" s="177" t="str">
        <x:v>base 2029 ocs 小端口参考系统空间</x:v>
      </x:c>
      <x:c r="C805" s="230" t="n">
        <x:f>'规格明细'!K109</x:f>
        <x:v>3.7158912</x:v>
      </x:c>
      <x:c r="D805" s="230" t="n">
        <x:f>'规格明细'!G109*'规格明细'!I109/100000000</x:f>
        <x:v>3.7158912</x:v>
      </x:c>
      <x:c r="E805" s="230" t="n">
        <x:f>C805-D805</x:f>
        <x:v>0</x:v>
      </x:c>
      <x:c r="F805" s="177" t="str">
        <x:f>IF(ABS(E805)&lt;0.000001,"PASS","FAIL")</x:f>
        <x:v>PASS</x:v>
      </x:c>
      <x:c r="G805" s="177" t="str">
        <x:v>组件数量×价格</x:v>
      </x:c>
      <x:c r="H805" s="184"/>
    </x:row>
    <x:row r="806">
      <x:c r="A806" s="177" t="str">
        <x:v>DYN-SPEC-REV-109</x:v>
      </x:c>
      <x:c r="B806" s="177" t="str">
        <x:v>base 2029 ocs 小端口参考系统理论收入</x:v>
      </x:c>
      <x:c r="C806" s="230" t="n">
        <x:f>'规格明细'!L109</x:f>
        <x:v>2.60112384</x:v>
      </x:c>
      <x:c r="D806" s="230" t="n">
        <x:f>'规格明细'!K109*'规格明细'!J109</x:f>
        <x:v>2.60112384</x:v>
      </x:c>
      <x:c r="E806" s="230" t="n">
        <x:f>C806-D806</x:f>
        <x:v>0</x:v>
      </x:c>
      <x:c r="F806" s="177" t="str">
        <x:f>IF(ABS(E806)&lt;0.000001,"PASS","FAIL")</x:f>
        <x:v>PASS</x:v>
      </x:c>
      <x:c r="G806" s="177" t="str">
        <x:v>份额只乘一次</x:v>
      </x:c>
      <x:c r="H806" s="184"/>
    </x:row>
    <x:row r="807">
      <x:c r="A807" s="177" t="str">
        <x:v>DYN-SPEC-Q-110</x:v>
      </x:c>
      <x:c r="B807" s="177" t="str">
        <x:v>base 2029 ocs 大端口320×320数量</x:v>
      </x:c>
      <x:c r="C807" s="230" t="n">
        <x:f>'规格明细'!G110</x:f>
        <x:v>133120000</x:v>
      </x:c>
      <x:c r="D807" s="230" t="n">
        <x:f>'规格明细'!D110*10000*'规格明细'!E110</x:f>
        <x:v>133120000</x:v>
      </x:c>
      <x:c r="E807" s="230" t="n">
        <x:f>C807-D807</x:f>
        <x:v>0</x:v>
      </x:c>
      <x:c r="F807" s="177" t="str">
        <x:f>IF(ABS(E807)&lt;0.000001,"PASS","FAIL")</x:f>
        <x:v>PASS</x:v>
      </x:c>
      <x:c r="G807" s="177" t="str">
        <x:v>出货量×单位用量</x:v>
      </x:c>
      <x:c r="H807" s="184"/>
    </x:row>
    <x:row r="808">
      <x:c r="A808" s="177" t="str">
        <x:v>DYN-SPEC-TAM-110</x:v>
      </x:c>
      <x:c r="B808" s="177" t="str">
        <x:v>base 2029 ocs 大端口320×320空间</x:v>
      </x:c>
      <x:c r="C808" s="230" t="n">
        <x:f>'规格明细'!K110</x:f>
        <x:v>34.504704</x:v>
      </x:c>
      <x:c r="D808" s="230" t="n">
        <x:f>'规格明细'!G110*'规格明细'!I110/100000000</x:f>
        <x:v>34.504704</x:v>
      </x:c>
      <x:c r="E808" s="230" t="n">
        <x:f>C808-D808</x:f>
        <x:v>0</x:v>
      </x:c>
      <x:c r="F808" s="177" t="str">
        <x:f>IF(ABS(E808)&lt;0.000001,"PASS","FAIL")</x:f>
        <x:v>PASS</x:v>
      </x:c>
      <x:c r="G808" s="177" t="str">
        <x:v>组件数量×价格</x:v>
      </x:c>
      <x:c r="H808" s="184"/>
    </x:row>
    <x:row r="809">
      <x:c r="A809" s="177" t="str">
        <x:v>DYN-SPEC-REV-110</x:v>
      </x:c>
      <x:c r="B809" s="177" t="str">
        <x:v>base 2029 ocs 大端口320×320理论收入</x:v>
      </x:c>
      <x:c r="C809" s="230" t="n">
        <x:f>'规格明细'!L110</x:f>
        <x:v>25.878527999999996</x:v>
      </x:c>
      <x:c r="D809" s="230" t="n">
        <x:f>'规格明细'!K110*'规格明细'!J110</x:f>
        <x:v>25.878527999999996</x:v>
      </x:c>
      <x:c r="E809" s="230" t="n">
        <x:f>C809-D809</x:f>
        <x:v>0</x:v>
      </x:c>
      <x:c r="F809" s="177" t="str">
        <x:f>IF(ABS(E809)&lt;0.000001,"PASS","FAIL")</x:f>
        <x:v>PASS</x:v>
      </x:c>
      <x:c r="G809" s="177" t="str">
        <x:v>份额只乘一次</x:v>
      </x:c>
      <x:c r="H809" s="184"/>
    </x:row>
    <x:row r="810">
      <x:c r="A810" s="177" t="str">
        <x:v>DYN-SPEC-Q-111</x:v>
      </x:c>
      <x:c r="B810" s="177" t="str">
        <x:v>base 2029 vGroove 102.4T数量</x:v>
      </x:c>
      <x:c r="C810" s="230" t="n">
        <x:f>'规格明细'!G111</x:f>
        <x:v>342719999.99999994</x:v>
      </x:c>
      <x:c r="D810" s="230" t="n">
        <x:f>'规格明细'!D111*10000*'规格明细'!E111</x:f>
        <x:v>342719999.99999994</x:v>
      </x:c>
      <x:c r="E810" s="230" t="n">
        <x:f>C810-D810</x:f>
        <x:v>0</x:v>
      </x:c>
      <x:c r="F810" s="177" t="str">
        <x:f>IF(ABS(E810)&lt;0.000001,"PASS","FAIL")</x:f>
        <x:v>PASS</x:v>
      </x:c>
      <x:c r="G810" s="177" t="str">
        <x:v>出货量×单位用量</x:v>
      </x:c>
      <x:c r="H810" s="184"/>
    </x:row>
    <x:row r="811">
      <x:c r="A811" s="177" t="str">
        <x:v>DYN-SPEC-TAM-111</x:v>
      </x:c>
      <x:c r="B811" s="177" t="str">
        <x:v>base 2029 vGroove 102.4T空间</x:v>
      </x:c>
      <x:c r="C811" s="230" t="n">
        <x:f>'规格明细'!K111</x:f>
        <x:v>19.898597375999994</x:v>
      </x:c>
      <x:c r="D811" s="230" t="n">
        <x:f>'规格明细'!G111*'规格明细'!I111/100000000</x:f>
        <x:v>19.898597375999994</x:v>
      </x:c>
      <x:c r="E811" s="230" t="n">
        <x:f>C811-D811</x:f>
        <x:v>0</x:v>
      </x:c>
      <x:c r="F811" s="177" t="str">
        <x:f>IF(ABS(E811)&lt;0.000001,"PASS","FAIL")</x:f>
        <x:v>PASS</x:v>
      </x:c>
      <x:c r="G811" s="177" t="str">
        <x:v>组件数量×价格</x:v>
      </x:c>
      <x:c r="H811" s="184"/>
    </x:row>
    <x:row r="812">
      <x:c r="A812" s="177" t="str">
        <x:v>DYN-SPEC-REV-111</x:v>
      </x:c>
      <x:c r="B812" s="177" t="str">
        <x:v>base 2029 vGroove 102.4T理论收入</x:v>
      </x:c>
      <x:c r="C812" s="230" t="n">
        <x:f>'规格明细'!L111</x:f>
        <x:v>11.939158425599997</x:v>
      </x:c>
      <x:c r="D812" s="230" t="n">
        <x:f>'规格明细'!K111*'规格明细'!J111</x:f>
        <x:v>11.939158425599997</x:v>
      </x:c>
      <x:c r="E812" s="230" t="n">
        <x:f>C812-D812</x:f>
        <x:v>0</x:v>
      </x:c>
      <x:c r="F812" s="177" t="str">
        <x:f>IF(ABS(E812)&lt;0.000001,"PASS","FAIL")</x:f>
        <x:v>PASS</x:v>
      </x:c>
      <x:c r="G812" s="177" t="str">
        <x:v>份额只乘一次</x:v>
      </x:c>
      <x:c r="H812" s="184"/>
    </x:row>
    <x:row r="813">
      <x:c r="A813" s="177" t="str">
        <x:v>DYN-SPEC-Q-112</x:v>
      </x:c>
      <x:c r="B813" s="177" t="str">
        <x:v>base 2029 vGroove 204.8T数量</x:v>
      </x:c>
      <x:c r="C813" s="230" t="n">
        <x:f>'规格明细'!G112</x:f>
        <x:v>1272960000</x:v>
      </x:c>
      <x:c r="D813" s="230" t="n">
        <x:f>'规格明细'!D112*10000*'规格明细'!E112</x:f>
        <x:v>1272960000</x:v>
      </x:c>
      <x:c r="E813" s="230" t="n">
        <x:f>C813-D813</x:f>
        <x:v>0</x:v>
      </x:c>
      <x:c r="F813" s="177" t="str">
        <x:f>IF(ABS(E813)&lt;0.000001,"PASS","FAIL")</x:f>
        <x:v>PASS</x:v>
      </x:c>
      <x:c r="G813" s="177" t="str">
        <x:v>出货量×单位用量</x:v>
      </x:c>
      <x:c r="H813" s="184"/>
    </x:row>
    <x:row r="814">
      <x:c r="A814" s="177" t="str">
        <x:v>DYN-SPEC-TAM-112</x:v>
      </x:c>
      <x:c r="B814" s="177" t="str">
        <x:v>base 2029 vGroove 204.8T空间</x:v>
      </x:c>
      <x:c r="C814" s="230" t="n">
        <x:f>'规格明细'!K112</x:f>
        <x:v>92.38634496</x:v>
      </x:c>
      <x:c r="D814" s="230" t="n">
        <x:f>'规格明细'!G112*'规格明细'!I112/100000000</x:f>
        <x:v>92.38634496</x:v>
      </x:c>
      <x:c r="E814" s="230" t="n">
        <x:f>C814-D814</x:f>
        <x:v>0</x:v>
      </x:c>
      <x:c r="F814" s="177" t="str">
        <x:f>IF(ABS(E814)&lt;0.000001,"PASS","FAIL")</x:f>
        <x:v>PASS</x:v>
      </x:c>
      <x:c r="G814" s="177" t="str">
        <x:v>组件数量×价格</x:v>
      </x:c>
      <x:c r="H814" s="184"/>
    </x:row>
    <x:row r="815">
      <x:c r="A815" s="177" t="str">
        <x:v>DYN-SPEC-REV-112</x:v>
      </x:c>
      <x:c r="B815" s="177" t="str">
        <x:v>base 2029 vGroove 204.8T理论收入</x:v>
      </x:c>
      <x:c r="C815" s="230" t="n">
        <x:f>'规格明细'!L112</x:f>
        <x:v>60.051124224000006</x:v>
      </x:c>
      <x:c r="D815" s="230" t="n">
        <x:f>'规格明细'!K112*'规格明细'!J112</x:f>
        <x:v>60.051124224000006</x:v>
      </x:c>
      <x:c r="E815" s="230" t="n">
        <x:f>C815-D815</x:f>
        <x:v>0</x:v>
      </x:c>
      <x:c r="F815" s="177" t="str">
        <x:f>IF(ABS(E815)&lt;0.000001,"PASS","FAIL")</x:f>
        <x:v>PASS</x:v>
      </x:c>
      <x:c r="G815" s="177" t="str">
        <x:v>份额只乘一次</x:v>
      </x:c>
      <x:c r="H815" s="184"/>
    </x:row>
    <x:row r="816">
      <x:c r="A816" s="177" t="str">
        <x:v>DYN-SPEC-Q-113</x:v>
      </x:c>
      <x:c r="B816" s="177" t="str">
        <x:v>base 2029 fauPrism 102.4T数量</x:v>
      </x:c>
      <x:c r="C816" s="230" t="n">
        <x:f>'规格明细'!G113</x:f>
        <x:v>342719999.99999994</x:v>
      </x:c>
      <x:c r="D816" s="230" t="n">
        <x:f>'规格明细'!D113*10000*'规格明细'!E113</x:f>
        <x:v>342719999.99999994</x:v>
      </x:c>
      <x:c r="E816" s="230" t="n">
        <x:f>C816-D816</x:f>
        <x:v>0</x:v>
      </x:c>
      <x:c r="F816" s="177" t="str">
        <x:f>IF(ABS(E816)&lt;0.000001,"PASS","FAIL")</x:f>
        <x:v>PASS</x:v>
      </x:c>
      <x:c r="G816" s="177" t="str">
        <x:v>出货量×单位用量</x:v>
      </x:c>
      <x:c r="H816" s="184"/>
    </x:row>
    <x:row r="817">
      <x:c r="A817" s="177" t="str">
        <x:v>DYN-SPEC-TAM-113</x:v>
      </x:c>
      <x:c r="B817" s="177" t="str">
        <x:v>base 2029 fauPrism 102.4T空间</x:v>
      </x:c>
      <x:c r="C817" s="230" t="n">
        <x:f>'规格明细'!K113</x:f>
        <x:v>28.42656768</x:v>
      </x:c>
      <x:c r="D817" s="230" t="n">
        <x:f>'规格明细'!G113*'规格明细'!I113/100000000</x:f>
        <x:v>28.42656768</x:v>
      </x:c>
      <x:c r="E817" s="230" t="n">
        <x:f>C817-D817</x:f>
        <x:v>0</x:v>
      </x:c>
      <x:c r="F817" s="177" t="str">
        <x:f>IF(ABS(E817)&lt;0.000001,"PASS","FAIL")</x:f>
        <x:v>PASS</x:v>
      </x:c>
      <x:c r="G817" s="177" t="str">
        <x:v>组件数量×价格</x:v>
      </x:c>
      <x:c r="H817" s="184"/>
    </x:row>
    <x:row r="818">
      <x:c r="A818" s="177" t="str">
        <x:v>DYN-SPEC-REV-113</x:v>
      </x:c>
      <x:c r="B818" s="177" t="str">
        <x:v>base 2029 fauPrism 102.4T理论收入</x:v>
      </x:c>
      <x:c r="C818" s="230" t="n">
        <x:f>'规格明细'!L113</x:f>
        <x:v>12.791955456</x:v>
      </x:c>
      <x:c r="D818" s="230" t="n">
        <x:f>'规格明细'!K113*'规格明细'!J113</x:f>
        <x:v>12.791955456</x:v>
      </x:c>
      <x:c r="E818" s="230" t="n">
        <x:f>C818-D818</x:f>
        <x:v>0</x:v>
      </x:c>
      <x:c r="F818" s="177" t="str">
        <x:f>IF(ABS(E818)&lt;0.000001,"PASS","FAIL")</x:f>
        <x:v>PASS</x:v>
      </x:c>
      <x:c r="G818" s="177" t="str">
        <x:v>份额只乘一次</x:v>
      </x:c>
      <x:c r="H818" s="184"/>
    </x:row>
    <x:row r="819">
      <x:c r="A819" s="177" t="str">
        <x:v>DYN-SPEC-Q-114</x:v>
      </x:c>
      <x:c r="B819" s="177" t="str">
        <x:v>base 2029 fauPrism 204.8T数量</x:v>
      </x:c>
      <x:c r="C819" s="230" t="n">
        <x:f>'规格明细'!G114</x:f>
        <x:v>1272960000</x:v>
      </x:c>
      <x:c r="D819" s="230" t="n">
        <x:f>'规格明细'!D114*10000*'规格明细'!E114</x:f>
        <x:v>1272960000</x:v>
      </x:c>
      <x:c r="E819" s="230" t="n">
        <x:f>C819-D819</x:f>
        <x:v>0</x:v>
      </x:c>
      <x:c r="F819" s="177" t="str">
        <x:f>IF(ABS(E819)&lt;0.000001,"PASS","FAIL")</x:f>
        <x:v>PASS</x:v>
      </x:c>
      <x:c r="G819" s="177" t="str">
        <x:v>出货量×单位用量</x:v>
      </x:c>
      <x:c r="H819" s="184"/>
    </x:row>
    <x:row r="820">
      <x:c r="A820" s="177" t="str">
        <x:v>DYN-SPEC-TAM-114</x:v>
      </x:c>
      <x:c r="B820" s="177" t="str">
        <x:v>base 2029 fauPrism 204.8T空间</x:v>
      </x:c>
      <x:c r="C820" s="230" t="n">
        <x:f>'规格明细'!K114</x:f>
        <x:v>131.9804928</x:v>
      </x:c>
      <x:c r="D820" s="230" t="n">
        <x:f>'规格明细'!G114*'规格明细'!I114/100000000</x:f>
        <x:v>131.9804928</x:v>
      </x:c>
      <x:c r="E820" s="230" t="n">
        <x:f>C820-D820</x:f>
        <x:v>0</x:v>
      </x:c>
      <x:c r="F820" s="177" t="str">
        <x:f>IF(ABS(E820)&lt;0.000001,"PASS","FAIL")</x:f>
        <x:v>PASS</x:v>
      </x:c>
      <x:c r="G820" s="177" t="str">
        <x:v>组件数量×价格</x:v>
      </x:c>
      <x:c r="H820" s="184"/>
    </x:row>
    <x:row r="821">
      <x:c r="A821" s="177" t="str">
        <x:v>DYN-SPEC-REV-114</x:v>
      </x:c>
      <x:c r="B821" s="177" t="str">
        <x:v>base 2029 fauPrism 204.8T理论收入</x:v>
      </x:c>
      <x:c r="C821" s="230" t="n">
        <x:f>'规格明细'!L114</x:f>
        <x:v>59.39122176000001</x:v>
      </x:c>
      <x:c r="D821" s="230" t="n">
        <x:f>'规格明细'!K114*'规格明细'!J114</x:f>
        <x:v>59.39122176000001</x:v>
      </x:c>
      <x:c r="E821" s="230" t="n">
        <x:f>C821-D821</x:f>
        <x:v>0</x:v>
      </x:c>
      <x:c r="F821" s="177" t="str">
        <x:f>IF(ABS(E821)&lt;0.000001,"PASS","FAIL")</x:f>
        <x:v>PASS</x:v>
      </x:c>
      <x:c r="G821" s="177" t="str">
        <x:v>份额只乘一次</x:v>
      </x:c>
      <x:c r="H821" s="184"/>
    </x:row>
    <x:row r="822">
      <x:c r="A822" s="177" t="str">
        <x:v>DYN-SPEC-Q-115</x:v>
      </x:c>
      <x:c r="B822" s="177" t="str">
        <x:v>base 2029 externalLaser 102.4T数量</x:v>
      </x:c>
      <x:c r="C822" s="230" t="n">
        <x:f>'规格明细'!G115</x:f>
        <x:v>38079999.99999999</x:v>
      </x:c>
      <x:c r="D822" s="230" t="n">
        <x:f>'规格明细'!D115*10000*'规格明细'!E115</x:f>
        <x:v>38079999.99999999</x:v>
      </x:c>
      <x:c r="E822" s="230" t="n">
        <x:f>C822-D822</x:f>
        <x:v>0</x:v>
      </x:c>
      <x:c r="F822" s="177" t="str">
        <x:f>IF(ABS(E822)&lt;0.000001,"PASS","FAIL")</x:f>
        <x:v>PASS</x:v>
      </x:c>
      <x:c r="G822" s="177" t="str">
        <x:v>出货量×单位用量</x:v>
      </x:c>
      <x:c r="H822" s="184"/>
    </x:row>
    <x:row r="823">
      <x:c r="A823" s="177" t="str">
        <x:v>DYN-SPEC-TAM-115</x:v>
      </x:c>
      <x:c r="B823" s="177" t="str">
        <x:v>base 2029 externalLaser 102.4T空间</x:v>
      </x:c>
      <x:c r="C823" s="230" t="n">
        <x:f>'规格明细'!K115</x:f>
        <x:v>15.792537599999998</x:v>
      </x:c>
      <x:c r="D823" s="230" t="n">
        <x:f>'规格明细'!G115*'规格明细'!I115/100000000</x:f>
        <x:v>15.792537599999998</x:v>
      </x:c>
      <x:c r="E823" s="230" t="n">
        <x:f>C823-D823</x:f>
        <x:v>0</x:v>
      </x:c>
      <x:c r="F823" s="177" t="str">
        <x:f>IF(ABS(E823)&lt;0.000001,"PASS","FAIL")</x:f>
        <x:v>PASS</x:v>
      </x:c>
      <x:c r="G823" s="177" t="str">
        <x:v>组件数量×价格</x:v>
      </x:c>
      <x:c r="H823" s="184"/>
    </x:row>
    <x:row r="824">
      <x:c r="A824" s="177" t="str">
        <x:v>DYN-SPEC-REV-115</x:v>
      </x:c>
      <x:c r="B824" s="177" t="str">
        <x:v>base 2029 externalLaser 102.4T理论收入</x:v>
      </x:c>
      <x:c r="C824" s="230" t="n">
        <x:f>'规格明细'!L115</x:f>
        <x:v>6.580223999999999</x:v>
      </x:c>
      <x:c r="D824" s="230" t="n">
        <x:f>'规格明细'!K115*'规格明细'!J115</x:f>
        <x:v>6.580223999999999</x:v>
      </x:c>
      <x:c r="E824" s="230" t="n">
        <x:f>C824-D824</x:f>
        <x:v>0</x:v>
      </x:c>
      <x:c r="F824" s="177" t="str">
        <x:f>IF(ABS(E824)&lt;0.000001,"PASS","FAIL")</x:f>
        <x:v>PASS</x:v>
      </x:c>
      <x:c r="G824" s="177" t="str">
        <x:v>份额只乘一次</x:v>
      </x:c>
      <x:c r="H824" s="184"/>
    </x:row>
    <x:row r="825">
      <x:c r="A825" s="177" t="str">
        <x:v>DYN-SPEC-Q-116</x:v>
      </x:c>
      <x:c r="B825" s="177" t="str">
        <x:v>base 2029 externalLaser 204.8T数量</x:v>
      </x:c>
      <x:c r="C825" s="230" t="n">
        <x:f>'规格明细'!G116</x:f>
        <x:v>70720000</x:v>
      </x:c>
      <x:c r="D825" s="230" t="n">
        <x:f>'规格明细'!D116*10000*'规格明细'!E116</x:f>
        <x:v>70720000</x:v>
      </x:c>
      <x:c r="E825" s="230" t="n">
        <x:f>C825-D825</x:f>
        <x:v>0</x:v>
      </x:c>
      <x:c r="F825" s="177" t="str">
        <x:f>IF(ABS(E825)&lt;0.000001,"PASS","FAIL")</x:f>
        <x:v>PASS</x:v>
      </x:c>
      <x:c r="G825" s="177" t="str">
        <x:v>出货量×单位用量</x:v>
      </x:c>
      <x:c r="H825" s="184"/>
    </x:row>
    <x:row r="826">
      <x:c r="A826" s="177" t="str">
        <x:v>DYN-SPEC-TAM-116</x:v>
      </x:c>
      <x:c r="B826" s="177" t="str">
        <x:v>base 2029 externalLaser 204.8T空间</x:v>
      </x:c>
      <x:c r="C826" s="230" t="n">
        <x:f>'规格明细'!K116</x:f>
        <x:v>36.66124800000001</x:v>
      </x:c>
      <x:c r="D826" s="230" t="n">
        <x:f>'规格明细'!G116*'规格明细'!I116/100000000</x:f>
        <x:v>36.66124800000001</x:v>
      </x:c>
      <x:c r="E826" s="230" t="n">
        <x:f>C826-D826</x:f>
        <x:v>0</x:v>
      </x:c>
      <x:c r="F826" s="177" t="str">
        <x:f>IF(ABS(E826)&lt;0.000001,"PASS","FAIL")</x:f>
        <x:v>PASS</x:v>
      </x:c>
      <x:c r="G826" s="177" t="str">
        <x:v>组件数量×价格</x:v>
      </x:c>
      <x:c r="H826" s="184"/>
    </x:row>
    <x:row r="827">
      <x:c r="A827" s="177" t="str">
        <x:v>DYN-SPEC-REV-116</x:v>
      </x:c>
      <x:c r="B827" s="177" t="str">
        <x:v>base 2029 externalLaser 204.8T理论收入</x:v>
      </x:c>
      <x:c r="C827" s="230" t="n">
        <x:f>'规格明细'!L116</x:f>
        <x:v>17.108582400000003</x:v>
      </x:c>
      <x:c r="D827" s="230" t="n">
        <x:f>'规格明细'!K116*'规格明细'!J116</x:f>
        <x:v>17.108582400000003</x:v>
      </x:c>
      <x:c r="E827" s="230" t="n">
        <x:f>C827-D827</x:f>
        <x:v>0</x:v>
      </x:c>
      <x:c r="F827" s="177" t="str">
        <x:f>IF(ABS(E827)&lt;0.000001,"PASS","FAIL")</x:f>
        <x:v>PASS</x:v>
      </x:c>
      <x:c r="G827" s="177" t="str">
        <x:v>份额只乘一次</x:v>
      </x:c>
      <x:c r="H827" s="184"/>
    </x:row>
    <x:row r="828">
      <x:c r="A828" s="177" t="str">
        <x:v>DYN-SPEC-Q-117</x:v>
      </x:c>
      <x:c r="B828" s="177" t="str">
        <x:v>base 2029 equipment 102.4T数量</x:v>
      </x:c>
      <x:c r="C828" s="230" t="n">
        <x:f>'规格明细'!G117</x:f>
        <x:v>9519.999999999998</x:v>
      </x:c>
      <x:c r="D828" s="230" t="n">
        <x:f>'规格明细'!D117*10000*'规格明细'!E117</x:f>
        <x:v>9519.999999999998</x:v>
      </x:c>
      <x:c r="E828" s="230" t="n">
        <x:f>C828-D828</x:f>
        <x:v>0</x:v>
      </x:c>
      <x:c r="F828" s="177" t="str">
        <x:f>IF(ABS(E828)&lt;0.000001,"PASS","FAIL")</x:f>
        <x:v>PASS</x:v>
      </x:c>
      <x:c r="G828" s="177" t="str">
        <x:v>出货量×单位用量</x:v>
      </x:c>
      <x:c r="H828" s="184"/>
    </x:row>
    <x:row r="829">
      <x:c r="A829" s="177" t="str">
        <x:v>DYN-SPEC-TAM-117</x:v>
      </x:c>
      <x:c r="B829" s="177" t="str">
        <x:v>base 2029 equipment 102.4T空间</x:v>
      </x:c>
      <x:c r="C829" s="230" t="n">
        <x:f>'规格明细'!K117</x:f>
        <x:v>6.092799999999999</x:v>
      </x:c>
      <x:c r="D829" s="230" t="n">
        <x:f>'规格明细'!G117*'规格明细'!I117/100000000</x:f>
        <x:v>6.092799999999999</x:v>
      </x:c>
      <x:c r="E829" s="230" t="n">
        <x:f>C829-D829</x:f>
        <x:v>0</x:v>
      </x:c>
      <x:c r="F829" s="177" t="str">
        <x:f>IF(ABS(E829)&lt;0.000001,"PASS","FAIL")</x:f>
        <x:v>PASS</x:v>
      </x:c>
      <x:c r="G829" s="177" t="str">
        <x:v>组件数量×价格</x:v>
      </x:c>
      <x:c r="H829" s="184"/>
    </x:row>
    <x:row r="830">
      <x:c r="A830" s="177" t="str">
        <x:v>DYN-SPEC-REV-117</x:v>
      </x:c>
      <x:c r="B830" s="177" t="str">
        <x:v>base 2029 equipment 102.4T理论收入</x:v>
      </x:c>
      <x:c r="C830" s="230" t="n">
        <x:f>'规格明细'!L117</x:f>
        <x:v>3.0463999999999993</x:v>
      </x:c>
      <x:c r="D830" s="230" t="n">
        <x:f>'规格明细'!K117*'规格明细'!J117</x:f>
        <x:v>3.0463999999999993</x:v>
      </x:c>
      <x:c r="E830" s="230" t="n">
        <x:f>C830-D830</x:f>
        <x:v>0</x:v>
      </x:c>
      <x:c r="F830" s="177" t="str">
        <x:f>IF(ABS(E830)&lt;0.000001,"PASS","FAIL")</x:f>
        <x:v>PASS</x:v>
      </x:c>
      <x:c r="G830" s="177" t="str">
        <x:v>份额只乘一次</x:v>
      </x:c>
      <x:c r="H830" s="184"/>
    </x:row>
    <x:row r="831">
      <x:c r="A831" s="177" t="str">
        <x:v>DYN-SPEC-Q-118</x:v>
      </x:c>
      <x:c r="B831" s="177" t="str">
        <x:v>base 2029 equipment 204.8T数量</x:v>
      </x:c>
      <x:c r="C831" s="230" t="n">
        <x:f>'规格明细'!G118</x:f>
        <x:v>17680</x:v>
      </x:c>
      <x:c r="D831" s="230" t="n">
        <x:f>'规格明细'!D118*10000*'规格明细'!E118</x:f>
        <x:v>17680</x:v>
      </x:c>
      <x:c r="E831" s="230" t="n">
        <x:f>C831-D831</x:f>
        <x:v>0</x:v>
      </x:c>
      <x:c r="F831" s="177" t="str">
        <x:f>IF(ABS(E831)&lt;0.000001,"PASS","FAIL")</x:f>
        <x:v>PASS</x:v>
      </x:c>
      <x:c r="G831" s="177" t="str">
        <x:v>出货量×单位用量</x:v>
      </x:c>
      <x:c r="H831" s="184"/>
    </x:row>
    <x:row r="832">
      <x:c r="A832" s="177" t="str">
        <x:v>DYN-SPEC-TAM-118</x:v>
      </x:c>
      <x:c r="B832" s="177" t="str">
        <x:v>base 2029 equipment 204.8T空间</x:v>
      </x:c>
      <x:c r="C832" s="230" t="n">
        <x:f>'规格明细'!K118</x:f>
        <x:v>14.144</x:v>
      </x:c>
      <x:c r="D832" s="230" t="n">
        <x:f>'规格明细'!G118*'规格明细'!I118/100000000</x:f>
        <x:v>14.144</x:v>
      </x:c>
      <x:c r="E832" s="230" t="n">
        <x:f>C832-D832</x:f>
        <x:v>0</x:v>
      </x:c>
      <x:c r="F832" s="177" t="str">
        <x:f>IF(ABS(E832)&lt;0.000001,"PASS","FAIL")</x:f>
        <x:v>PASS</x:v>
      </x:c>
      <x:c r="G832" s="177" t="str">
        <x:v>组件数量×价格</x:v>
      </x:c>
      <x:c r="H832" s="184"/>
    </x:row>
    <x:row r="833">
      <x:c r="A833" s="177" t="str">
        <x:v>DYN-SPEC-REV-118</x:v>
      </x:c>
      <x:c r="B833" s="177" t="str">
        <x:v>base 2029 equipment 204.8T理论收入</x:v>
      </x:c>
      <x:c r="C833" s="230" t="n">
        <x:f>'规格明细'!L118</x:f>
        <x:v>7.7792</x:v>
      </x:c>
      <x:c r="D833" s="230" t="n">
        <x:f>'规格明细'!K118*'规格明细'!J118</x:f>
        <x:v>7.7792</x:v>
      </x:c>
      <x:c r="E833" s="230" t="n">
        <x:f>C833-D833</x:f>
        <x:v>0</x:v>
      </x:c>
      <x:c r="F833" s="177" t="str">
        <x:f>IF(ABS(E833)&lt;0.000001,"PASS","FAIL")</x:f>
        <x:v>PASS</x:v>
      </x:c>
      <x:c r="G833" s="177" t="str">
        <x:v>份额只乘一次</x:v>
      </x:c>
      <x:c r="H833" s="184"/>
    </x:row>
    <x:row r="834">
      <x:c r="A834" s="177" t="str">
        <x:v>DYN-SPEC-Q-119</x:v>
      </x:c>
      <x:c r="B834" s="177" t="str">
        <x:v>base 2030 pluggable-800g 800G数量</x:v>
      </x:c>
      <x:c r="C834" s="230" t="n">
        <x:f>'规格明细'!G119</x:f>
        <x:v>180000000</x:v>
      </x:c>
      <x:c r="D834" s="230" t="n">
        <x:f>'规格明细'!D119*10000*'规格明细'!E119</x:f>
        <x:v>180000000</x:v>
      </x:c>
      <x:c r="E834" s="230" t="n">
        <x:f>C834-D834</x:f>
        <x:v>0</x:v>
      </x:c>
      <x:c r="F834" s="177" t="str">
        <x:f>IF(ABS(E834)&lt;0.000001,"PASS","FAIL")</x:f>
        <x:v>PASS</x:v>
      </x:c>
      <x:c r="G834" s="177" t="str">
        <x:v>出货量×单位用量</x:v>
      </x:c>
      <x:c r="H834" s="184"/>
    </x:row>
    <x:row r="835">
      <x:c r="A835" s="177" t="str">
        <x:v>DYN-SPEC-TAM-119</x:v>
      </x:c>
      <x:c r="B835" s="177" t="str">
        <x:v>base 2030 pluggable-800g 800G空间</x:v>
      </x:c>
      <x:c r="C835" s="230" t="n">
        <x:f>'规格明细'!K119</x:f>
        <x:v>4.72392</x:v>
      </x:c>
      <x:c r="D835" s="230" t="n">
        <x:f>'规格明细'!G119*'规格明细'!I119/100000000</x:f>
        <x:v>4.72392</x:v>
      </x:c>
      <x:c r="E835" s="230" t="n">
        <x:f>C835-D835</x:f>
        <x:v>0</x:v>
      </x:c>
      <x:c r="F835" s="177" t="str">
        <x:f>IF(ABS(E835)&lt;0.000001,"PASS","FAIL")</x:f>
        <x:v>PASS</x:v>
      </x:c>
      <x:c r="G835" s="177" t="str">
        <x:v>组件数量×价格</x:v>
      </x:c>
      <x:c r="H835" s="184"/>
    </x:row>
    <x:row r="836">
      <x:c r="A836" s="177" t="str">
        <x:v>DYN-SPEC-REV-119</x:v>
      </x:c>
      <x:c r="B836" s="177" t="str">
        <x:v>base 2030 pluggable-800g 800G理论收入</x:v>
      </x:c>
      <x:c r="C836" s="230" t="n">
        <x:f>'规格明细'!L119</x:f>
        <x:v>0.472392</x:v>
      </x:c>
      <x:c r="D836" s="230" t="n">
        <x:f>'规格明细'!K119*'规格明细'!J119</x:f>
        <x:v>0.472392</x:v>
      </x:c>
      <x:c r="E836" s="230" t="n">
        <x:f>C836-D836</x:f>
        <x:v>0</x:v>
      </x:c>
      <x:c r="F836" s="177" t="str">
        <x:f>IF(ABS(E836)&lt;0.000001,"PASS","FAIL")</x:f>
        <x:v>PASS</x:v>
      </x:c>
      <x:c r="G836" s="177" t="str">
        <x:v>份额只乘一次</x:v>
      </x:c>
      <x:c r="H836" s="184"/>
    </x:row>
    <x:row r="837">
      <x:c r="A837" s="177" t="str">
        <x:v>DYN-SPEC-Q-120</x:v>
      </x:c>
      <x:c r="B837" s="177" t="str">
        <x:v>base 2030 pluggable-1p6t 1.6T数量</x:v>
      </x:c>
      <x:c r="C837" s="230" t="n">
        <x:f>'规格明细'!G120</x:f>
        <x:v>1600000000</x:v>
      </x:c>
      <x:c r="D837" s="230" t="n">
        <x:f>'规格明细'!D120*10000*'规格明细'!E120</x:f>
        <x:v>1600000000</x:v>
      </x:c>
      <x:c r="E837" s="230" t="n">
        <x:f>C837-D837</x:f>
        <x:v>0</x:v>
      </x:c>
      <x:c r="F837" s="177" t="str">
        <x:f>IF(ABS(E837)&lt;0.000001,"PASS","FAIL")</x:f>
        <x:v>PASS</x:v>
      </x:c>
      <x:c r="G837" s="177" t="str">
        <x:v>出货量×单位用量</x:v>
      </x:c>
      <x:c r="H837" s="184"/>
    </x:row>
    <x:row r="838">
      <x:c r="A838" s="177" t="str">
        <x:v>DYN-SPEC-TAM-120</x:v>
      </x:c>
      <x:c r="B838" s="177" t="str">
        <x:v>base 2030 pluggable-1p6t 1.6T空间</x:v>
      </x:c>
      <x:c r="C838" s="230" t="n">
        <x:f>'规格明细'!K120</x:f>
        <x:v>58.78655999999999</x:v>
      </x:c>
      <x:c r="D838" s="230" t="n">
        <x:f>'规格明细'!G120*'规格明细'!I120/100000000</x:f>
        <x:v>58.78655999999999</x:v>
      </x:c>
      <x:c r="E838" s="230" t="n">
        <x:f>C838-D838</x:f>
        <x:v>0</x:v>
      </x:c>
      <x:c r="F838" s="177" t="str">
        <x:f>IF(ABS(E838)&lt;0.000001,"PASS","FAIL")</x:f>
        <x:v>PASS</x:v>
      </x:c>
      <x:c r="G838" s="177" t="str">
        <x:v>组件数量×价格</x:v>
      </x:c>
      <x:c r="H838" s="184"/>
    </x:row>
    <x:row r="839">
      <x:c r="A839" s="177" t="str">
        <x:v>DYN-SPEC-REV-120</x:v>
      </x:c>
      <x:c r="B839" s="177" t="str">
        <x:v>base 2030 pluggable-1p6t 1.6T理论收入</x:v>
      </x:c>
      <x:c r="C839" s="230" t="n">
        <x:f>'规格明细'!L120</x:f>
        <x:v>5.878655999999999</x:v>
      </x:c>
      <x:c r="D839" s="230" t="n">
        <x:f>'规格明细'!K120*'规格明细'!J120</x:f>
        <x:v>5.878655999999999</x:v>
      </x:c>
      <x:c r="E839" s="230" t="n">
        <x:f>C839-D839</x:f>
        <x:v>0</x:v>
      </x:c>
      <x:c r="F839" s="177" t="str">
        <x:f>IF(ABS(E839)&lt;0.000001,"PASS","FAIL")</x:f>
        <x:v>PASS</x:v>
      </x:c>
      <x:c r="G839" s="177" t="str">
        <x:v>份额只乘一次</x:v>
      </x:c>
      <x:c r="H839" s="184"/>
    </x:row>
    <x:row r="840">
      <x:c r="A840" s="177" t="str">
        <x:v>DYN-SPEC-Q-121</x:v>
      </x:c>
      <x:c r="B840" s="177" t="str">
        <x:v>base 2030 ocs 小端口参考系统数量</x:v>
      </x:c>
      <x:c r="C840" s="230" t="n">
        <x:f>'规格明细'!G121</x:f>
        <x:v>28800000</x:v>
      </x:c>
      <x:c r="D840" s="230" t="n">
        <x:f>'规格明细'!D121*10000*'规格明细'!E121</x:f>
        <x:v>28800000</x:v>
      </x:c>
      <x:c r="E840" s="230" t="n">
        <x:f>C840-D840</x:f>
        <x:v>0</x:v>
      </x:c>
      <x:c r="F840" s="177" t="str">
        <x:f>IF(ABS(E840)&lt;0.000001,"PASS","FAIL")</x:f>
        <x:v>PASS</x:v>
      </x:c>
      <x:c r="G840" s="177" t="str">
        <x:v>出货量×单位用量</x:v>
      </x:c>
      <x:c r="H840" s="184"/>
    </x:row>
    <x:row r="841">
      <x:c r="A841" s="177" t="str">
        <x:v>DYN-SPEC-TAM-121</x:v>
      </x:c>
      <x:c r="B841" s="177" t="str">
        <x:v>base 2030 ocs 小端口参考系统空间</x:v>
      </x:c>
      <x:c r="C841" s="230" t="n">
        <x:f>'规格明细'!K121</x:f>
        <x:v>3.3592320000000004</x:v>
      </x:c>
      <x:c r="D841" s="230" t="n">
        <x:f>'规格明细'!G121*'规格明细'!I121/100000000</x:f>
        <x:v>3.3592320000000004</x:v>
      </x:c>
      <x:c r="E841" s="230" t="n">
        <x:f>C841-D841</x:f>
        <x:v>0</x:v>
      </x:c>
      <x:c r="F841" s="177" t="str">
        <x:f>IF(ABS(E841)&lt;0.000001,"PASS","FAIL")</x:f>
        <x:v>PASS</x:v>
      </x:c>
      <x:c r="G841" s="177" t="str">
        <x:v>组件数量×价格</x:v>
      </x:c>
      <x:c r="H841" s="184"/>
    </x:row>
    <x:row r="842">
      <x:c r="A842" s="177" t="str">
        <x:v>DYN-SPEC-REV-121</x:v>
      </x:c>
      <x:c r="B842" s="177" t="str">
        <x:v>base 2030 ocs 小端口参考系统理论收入</x:v>
      </x:c>
      <x:c r="C842" s="230" t="n">
        <x:f>'规格明细'!L121</x:f>
        <x:v>2.0155392</x:v>
      </x:c>
      <x:c r="D842" s="230" t="n">
        <x:f>'规格明细'!K121*'规格明细'!J121</x:f>
        <x:v>2.0155392</x:v>
      </x:c>
      <x:c r="E842" s="230" t="n">
        <x:f>C842-D842</x:f>
        <x:v>0</x:v>
      </x:c>
      <x:c r="F842" s="177" t="str">
        <x:f>IF(ABS(E842)&lt;0.000001,"PASS","FAIL")</x:f>
        <x:v>PASS</x:v>
      </x:c>
      <x:c r="G842" s="177" t="str">
        <x:v>份额只乘一次</x:v>
      </x:c>
      <x:c r="H842" s="184"/>
    </x:row>
    <x:row r="843">
      <x:c r="A843" s="177" t="str">
        <x:v>DYN-SPEC-Q-122</x:v>
      </x:c>
      <x:c r="B843" s="177" t="str">
        <x:v>base 2030 ocs 大端口320×320数量</x:v>
      </x:c>
      <x:c r="C843" s="230" t="n">
        <x:f>'规格明细'!G122</x:f>
        <x:v>216000000</x:v>
      </x:c>
      <x:c r="D843" s="230" t="n">
        <x:f>'规格明细'!D122*10000*'规格明细'!E122</x:f>
        <x:v>216000000</x:v>
      </x:c>
      <x:c r="E843" s="230" t="n">
        <x:f>C843-D843</x:f>
        <x:v>0</x:v>
      </x:c>
      <x:c r="F843" s="177" t="str">
        <x:f>IF(ABS(E843)&lt;0.000001,"PASS","FAIL")</x:f>
        <x:v>PASS</x:v>
      </x:c>
      <x:c r="G843" s="177" t="str">
        <x:v>出货量×单位用量</x:v>
      </x:c>
      <x:c r="H843" s="184"/>
    </x:row>
    <x:row r="844">
      <x:c r="A844" s="177" t="str">
        <x:v>DYN-SPEC-TAM-122</x:v>
      </x:c>
      <x:c r="B844" s="177" t="str">
        <x:v>base 2030 ocs 大端口320×320空间</x:v>
      </x:c>
      <x:c r="C844" s="230" t="n">
        <x:f>'规格明细'!K122</x:f>
        <x:v>50.38848000000001</x:v>
      </x:c>
      <x:c r="D844" s="230" t="n">
        <x:f>'规格明细'!G122*'规格明细'!I122/100000000</x:f>
        <x:v>50.38848000000001</x:v>
      </x:c>
      <x:c r="E844" s="230" t="n">
        <x:f>C844-D844</x:f>
        <x:v>0</x:v>
      </x:c>
      <x:c r="F844" s="177" t="str">
        <x:f>IF(ABS(E844)&lt;0.000001,"PASS","FAIL")</x:f>
        <x:v>PASS</x:v>
      </x:c>
      <x:c r="G844" s="177" t="str">
        <x:v>组件数量×价格</x:v>
      </x:c>
      <x:c r="H844" s="184"/>
    </x:row>
    <x:row r="845">
      <x:c r="A845" s="177" t="str">
        <x:v>DYN-SPEC-REV-122</x:v>
      </x:c>
      <x:c r="B845" s="177" t="str">
        <x:v>base 2030 ocs 大端口320×320理论收入</x:v>
      </x:c>
      <x:c r="C845" s="230" t="n">
        <x:f>'规格明细'!L122</x:f>
        <x:v>32.75251200000001</x:v>
      </x:c>
      <x:c r="D845" s="230" t="n">
        <x:f>'规格明细'!K122*'规格明细'!J122</x:f>
        <x:v>32.75251200000001</x:v>
      </x:c>
      <x:c r="E845" s="230" t="n">
        <x:f>C845-D845</x:f>
        <x:v>0</x:v>
      </x:c>
      <x:c r="F845" s="177" t="str">
        <x:f>IF(ABS(E845)&lt;0.000001,"PASS","FAIL")</x:f>
        <x:v>PASS</x:v>
      </x:c>
      <x:c r="G845" s="177" t="str">
        <x:v>份额只乘一次</x:v>
      </x:c>
      <x:c r="H845" s="184"/>
    </x:row>
    <x:row r="846">
      <x:c r="A846" s="177" t="str">
        <x:v>DYN-SPEC-Q-123</x:v>
      </x:c>
      <x:c r="B846" s="177" t="str">
        <x:v>base 2030 vGroove 102.4T数量</x:v>
      </x:c>
      <x:c r="C846" s="230" t="n">
        <x:f>'规格明细'!G123</x:f>
        <x:v>276479999.99999994</x:v>
      </x:c>
      <x:c r="D846" s="230" t="n">
        <x:f>'规格明细'!D123*10000*'规格明细'!E123</x:f>
        <x:v>276479999.99999994</x:v>
      </x:c>
      <x:c r="E846" s="230" t="n">
        <x:f>C846-D846</x:f>
        <x:v>0</x:v>
      </x:c>
      <x:c r="F846" s="177" t="str">
        <x:f>IF(ABS(E846)&lt;0.000001,"PASS","FAIL")</x:f>
        <x:v>PASS</x:v>
      </x:c>
      <x:c r="G846" s="177" t="str">
        <x:v>出货量×单位用量</x:v>
      </x:c>
      <x:c r="H846" s="184"/>
    </x:row>
    <x:row r="847">
      <x:c r="A847" s="177" t="str">
        <x:v>DYN-SPEC-TAM-123</x:v>
      </x:c>
      <x:c r="B847" s="177" t="str">
        <x:v>base 2030 vGroove 102.4T空间</x:v>
      </x:c>
      <x:c r="C847" s="230" t="n">
        <x:f>'规格明细'!K123</x:f>
        <x:v>14.447384985599998</x:v>
      </x:c>
      <x:c r="D847" s="230" t="n">
        <x:f>'规格明细'!G123*'规格明细'!I123/100000000</x:f>
        <x:v>14.447384985599998</x:v>
      </x:c>
      <x:c r="E847" s="230" t="n">
        <x:f>C847-D847</x:f>
        <x:v>0</x:v>
      </x:c>
      <x:c r="F847" s="177" t="str">
        <x:f>IF(ABS(E847)&lt;0.000001,"PASS","FAIL")</x:f>
        <x:v>PASS</x:v>
      </x:c>
      <x:c r="G847" s="177" t="str">
        <x:v>组件数量×价格</x:v>
      </x:c>
      <x:c r="H847" s="184"/>
    </x:row>
    <x:row r="848">
      <x:c r="A848" s="177" t="str">
        <x:v>DYN-SPEC-REV-123</x:v>
      </x:c>
      <x:c r="B848" s="177" t="str">
        <x:v>base 2030 vGroove 102.4T理论收入</x:v>
      </x:c>
      <x:c r="C848" s="230" t="n">
        <x:f>'规格明细'!L123</x:f>
        <x:v>9.390800240639999</x:v>
      </x:c>
      <x:c r="D848" s="230" t="n">
        <x:f>'规格明细'!K123*'规格明细'!J123</x:f>
        <x:v>9.390800240639999</x:v>
      </x:c>
      <x:c r="E848" s="230" t="n">
        <x:f>C848-D848</x:f>
        <x:v>0</x:v>
      </x:c>
      <x:c r="F848" s="177" t="str">
        <x:f>IF(ABS(E848)&lt;0.000001,"PASS","FAIL")</x:f>
        <x:v>PASS</x:v>
      </x:c>
      <x:c r="G848" s="177" t="str">
        <x:v>份额只乘一次</x:v>
      </x:c>
      <x:c r="H848" s="184"/>
    </x:row>
    <x:row r="849">
      <x:c r="A849" s="177" t="str">
        <x:v>DYN-SPEC-Q-124</x:v>
      </x:c>
      <x:c r="B849" s="177" t="str">
        <x:v>base 2030 vGroove 204.8T数量</x:v>
      </x:c>
      <x:c r="C849" s="230" t="n">
        <x:f>'规格明细'!G124</x:f>
        <x:v>2211840000</x:v>
      </x:c>
      <x:c r="D849" s="230" t="n">
        <x:f>'规格明细'!D124*10000*'规格明细'!E124</x:f>
        <x:v>2211840000</x:v>
      </x:c>
      <x:c r="E849" s="230" t="n">
        <x:f>C849-D849</x:f>
        <x:v>0</x:v>
      </x:c>
      <x:c r="F849" s="177" t="str">
        <x:f>IF(ABS(E849)&lt;0.000001,"PASS","FAIL")</x:f>
        <x:v>PASS</x:v>
      </x:c>
      <x:c r="G849" s="177" t="str">
        <x:v>出货量×单位用量</x:v>
      </x:c>
      <x:c r="H849" s="184"/>
    </x:row>
    <x:row r="850">
      <x:c r="A850" s="177" t="str">
        <x:v>DYN-SPEC-TAM-124</x:v>
      </x:c>
      <x:c r="B850" s="177" t="str">
        <x:v>base 2030 vGroove 204.8T空间</x:v>
      </x:c>
      <x:c r="C850" s="230" t="n">
        <x:f>'规格明细'!K124</x:f>
        <x:v>144.47384985600002</x:v>
      </x:c>
      <x:c r="D850" s="230" t="n">
        <x:f>'规格明细'!G124*'规格明细'!I124/100000000</x:f>
        <x:v>144.47384985600002</x:v>
      </x:c>
      <x:c r="E850" s="230" t="n">
        <x:f>C850-D850</x:f>
        <x:v>0</x:v>
      </x:c>
      <x:c r="F850" s="177" t="str">
        <x:f>IF(ABS(E850)&lt;0.000001,"PASS","FAIL")</x:f>
        <x:v>PASS</x:v>
      </x:c>
      <x:c r="G850" s="177" t="str">
        <x:v>组件数量×价格</x:v>
      </x:c>
      <x:c r="H850" s="184"/>
    </x:row>
    <x:row r="851">
      <x:c r="A851" s="177" t="str">
        <x:v>DYN-SPEC-REV-124</x:v>
      </x:c>
      <x:c r="B851" s="177" t="str">
        <x:v>base 2030 vGroove 204.8T理论收入</x:v>
      </x:c>
      <x:c r="C851" s="230" t="n">
        <x:f>'规格明细'!L124</x:f>
        <x:v>101.13169489920001</x:v>
      </x:c>
      <x:c r="D851" s="230" t="n">
        <x:f>'规格明细'!K124*'规格明细'!J124</x:f>
        <x:v>101.13169489920001</x:v>
      </x:c>
      <x:c r="E851" s="230" t="n">
        <x:f>C851-D851</x:f>
        <x:v>0</x:v>
      </x:c>
      <x:c r="F851" s="177" t="str">
        <x:f>IF(ABS(E851)&lt;0.000001,"PASS","FAIL")</x:f>
        <x:v>PASS</x:v>
      </x:c>
      <x:c r="G851" s="177" t="str">
        <x:v>份额只乘一次</x:v>
      </x:c>
      <x:c r="H851" s="184"/>
    </x:row>
    <x:row r="852">
      <x:c r="A852" s="177" t="str">
        <x:v>DYN-SPEC-Q-125</x:v>
      </x:c>
      <x:c r="B852" s="177" t="str">
        <x:v>base 2030 fauPrism 102.4T数量</x:v>
      </x:c>
      <x:c r="C852" s="230" t="n">
        <x:f>'规格明细'!G125</x:f>
        <x:v>276479999.99999994</x:v>
      </x:c>
      <x:c r="D852" s="230" t="n">
        <x:f>'规格明细'!D125*10000*'规格明细'!E125</x:f>
        <x:v>276479999.99999994</x:v>
      </x:c>
      <x:c r="E852" s="230" t="n">
        <x:f>C852-D852</x:f>
        <x:v>0</x:v>
      </x:c>
      <x:c r="F852" s="177" t="str">
        <x:f>IF(ABS(E852)&lt;0.000001,"PASS","FAIL")</x:f>
        <x:v>PASS</x:v>
      </x:c>
      <x:c r="G852" s="177" t="str">
        <x:v>出货量×单位用量</x:v>
      </x:c>
      <x:c r="H852" s="184"/>
    </x:row>
    <x:row r="853">
      <x:c r="A853" s="177" t="str">
        <x:v>DYN-SPEC-TAM-125</x:v>
      </x:c>
      <x:c r="B853" s="177" t="str">
        <x:v>base 2030 fauPrism 102.4T空间</x:v>
      </x:c>
      <x:c r="C853" s="230" t="n">
        <x:f>'规格明细'!K125</x:f>
        <x:v>20.639121408</x:v>
      </x:c>
      <x:c r="D853" s="230" t="n">
        <x:f>'规格明细'!G125*'规格明细'!I125/100000000</x:f>
        <x:v>20.639121408</x:v>
      </x:c>
      <x:c r="E853" s="230" t="n">
        <x:f>C853-D853</x:f>
        <x:v>0</x:v>
      </x:c>
      <x:c r="F853" s="177" t="str">
        <x:f>IF(ABS(E853)&lt;0.000001,"PASS","FAIL")</x:f>
        <x:v>PASS</x:v>
      </x:c>
      <x:c r="G853" s="177" t="str">
        <x:v>组件数量×价格</x:v>
      </x:c>
      <x:c r="H853" s="184"/>
    </x:row>
    <x:row r="854">
      <x:c r="A854" s="177" t="str">
        <x:v>DYN-SPEC-REV-125</x:v>
      </x:c>
      <x:c r="B854" s="177" t="str">
        <x:v>base 2030 fauPrism 102.4T理论收入</x:v>
      </x:c>
      <x:c r="C854" s="230" t="n">
        <x:f>'规格明细'!L125</x:f>
        <x:v>9.2876046336</x:v>
      </x:c>
      <x:c r="D854" s="230" t="n">
        <x:f>'规格明细'!K125*'规格明细'!J125</x:f>
        <x:v>9.2876046336</x:v>
      </x:c>
      <x:c r="E854" s="230" t="n">
        <x:f>C854-D854</x:f>
        <x:v>0</x:v>
      </x:c>
      <x:c r="F854" s="177" t="str">
        <x:f>IF(ABS(E854)&lt;0.000001,"PASS","FAIL")</x:f>
        <x:v>PASS</x:v>
      </x:c>
      <x:c r="G854" s="177" t="str">
        <x:v>份额只乘一次</x:v>
      </x:c>
      <x:c r="H854" s="184"/>
    </x:row>
    <x:row r="855">
      <x:c r="A855" s="177" t="str">
        <x:v>DYN-SPEC-Q-126</x:v>
      </x:c>
      <x:c r="B855" s="177" t="str">
        <x:v>base 2030 fauPrism 204.8T数量</x:v>
      </x:c>
      <x:c r="C855" s="230" t="n">
        <x:f>'规格明细'!G126</x:f>
        <x:v>2211840000</x:v>
      </x:c>
      <x:c r="D855" s="230" t="n">
        <x:f>'规格明细'!D126*10000*'规格明细'!E126</x:f>
        <x:v>2211840000</x:v>
      </x:c>
      <x:c r="E855" s="230" t="n">
        <x:f>C855-D855</x:f>
        <x:v>0</x:v>
      </x:c>
      <x:c r="F855" s="177" t="str">
        <x:f>IF(ABS(E855)&lt;0.000001,"PASS","FAIL")</x:f>
        <x:v>PASS</x:v>
      </x:c>
      <x:c r="G855" s="177" t="str">
        <x:v>出货量×单位用量</x:v>
      </x:c>
      <x:c r="H855" s="184"/>
    </x:row>
    <x:row r="856">
      <x:c r="A856" s="177" t="str">
        <x:v>DYN-SPEC-TAM-126</x:v>
      </x:c>
      <x:c r="B856" s="177" t="str">
        <x:v>base 2030 fauPrism 204.8T空间</x:v>
      </x:c>
      <x:c r="C856" s="230" t="n">
        <x:f>'规格明细'!K126</x:f>
        <x:v>206.39121408</x:v>
      </x:c>
      <x:c r="D856" s="230" t="n">
        <x:f>'规格明细'!G126*'规格明细'!I126/100000000</x:f>
        <x:v>206.39121408</x:v>
      </x:c>
      <x:c r="E856" s="230" t="n">
        <x:f>C856-D856</x:f>
        <x:v>0</x:v>
      </x:c>
      <x:c r="F856" s="177" t="str">
        <x:f>IF(ABS(E856)&lt;0.000001,"PASS","FAIL")</x:f>
        <x:v>PASS</x:v>
      </x:c>
      <x:c r="G856" s="177" t="str">
        <x:v>组件数量×价格</x:v>
      </x:c>
      <x:c r="H856" s="184"/>
    </x:row>
    <x:row r="857">
      <x:c r="A857" s="177" t="str">
        <x:v>DYN-SPEC-REV-126</x:v>
      </x:c>
      <x:c r="B857" s="177" t="str">
        <x:v>base 2030 fauPrism 204.8T理论收入</x:v>
      </x:c>
      <x:c r="C857" s="230" t="n">
        <x:f>'规格明细'!L126</x:f>
        <x:v>92.876046336</x:v>
      </x:c>
      <x:c r="D857" s="230" t="n">
        <x:f>'规格明细'!K126*'规格明细'!J126</x:f>
        <x:v>92.876046336</x:v>
      </x:c>
      <x:c r="E857" s="230" t="n">
        <x:f>C857-D857</x:f>
        <x:v>0</x:v>
      </x:c>
      <x:c r="F857" s="177" t="str">
        <x:f>IF(ABS(E857)&lt;0.000001,"PASS","FAIL")</x:f>
        <x:v>PASS</x:v>
      </x:c>
      <x:c r="G857" s="177" t="str">
        <x:v>份额只乘一次</x:v>
      </x:c>
      <x:c r="H857" s="184"/>
    </x:row>
    <x:row r="858">
      <x:c r="A858" s="177" t="str">
        <x:v>DYN-SPEC-Q-127</x:v>
      </x:c>
      <x:c r="B858" s="177" t="str">
        <x:v>base 2030 externalLaser 102.4T数量</x:v>
      </x:c>
      <x:c r="C858" s="230" t="n">
        <x:f>'规格明细'!G127</x:f>
        <x:v>30719999.999999993</x:v>
      </x:c>
      <x:c r="D858" s="230" t="n">
        <x:f>'规格明细'!D127*10000*'规格明细'!E127</x:f>
        <x:v>30719999.999999993</x:v>
      </x:c>
      <x:c r="E858" s="230" t="n">
        <x:f>C858-D858</x:f>
        <x:v>0</x:v>
      </x:c>
      <x:c r="F858" s="177" t="str">
        <x:f>IF(ABS(E858)&lt;0.000001,"PASS","FAIL")</x:f>
        <x:v>PASS</x:v>
      </x:c>
      <x:c r="G858" s="177" t="str">
        <x:v>出货量×单位用量</x:v>
      </x:c>
      <x:c r="H858" s="184"/>
    </x:row>
    <x:row r="859">
      <x:c r="A859" s="177" t="str">
        <x:v>DYN-SPEC-TAM-127</x:v>
      </x:c>
      <x:c r="B859" s="177" t="str">
        <x:v>base 2030 externalLaser 102.4T空间</x:v>
      </x:c>
      <x:c r="C859" s="230" t="n">
        <x:f>'规格明细'!K127</x:f>
        <x:v>11.466178559999998</x:v>
      </x:c>
      <x:c r="D859" s="230" t="n">
        <x:f>'规格明细'!G127*'规格明细'!I127/100000000</x:f>
        <x:v>11.466178559999998</x:v>
      </x:c>
      <x:c r="E859" s="230" t="n">
        <x:f>C859-D859</x:f>
        <x:v>0</x:v>
      </x:c>
      <x:c r="F859" s="177" t="str">
        <x:f>IF(ABS(E859)&lt;0.000001,"PASS","FAIL")</x:f>
        <x:v>PASS</x:v>
      </x:c>
      <x:c r="G859" s="177" t="str">
        <x:v>组件数量×价格</x:v>
      </x:c>
      <x:c r="H859" s="184"/>
    </x:row>
    <x:row r="860">
      <x:c r="A860" s="177" t="str">
        <x:v>DYN-SPEC-REV-127</x:v>
      </x:c>
      <x:c r="B860" s="177" t="str">
        <x:v>base 2030 externalLaser 102.4T理论收入</x:v>
      </x:c>
      <x:c r="C860" s="230" t="n">
        <x:f>'规格明细'!L127</x:f>
        <x:v>4.586471423999999</x:v>
      </x:c>
      <x:c r="D860" s="230" t="n">
        <x:f>'规格明细'!K127*'规格明细'!J127</x:f>
        <x:v>4.586471423999999</x:v>
      </x:c>
      <x:c r="E860" s="230" t="n">
        <x:f>C860-D860</x:f>
        <x:v>0</x:v>
      </x:c>
      <x:c r="F860" s="177" t="str">
        <x:f>IF(ABS(E860)&lt;0.000001,"PASS","FAIL")</x:f>
        <x:v>PASS</x:v>
      </x:c>
      <x:c r="G860" s="177" t="str">
        <x:v>份额只乘一次</x:v>
      </x:c>
      <x:c r="H860" s="184"/>
    </x:row>
    <x:row r="861">
      <x:c r="A861" s="177" t="str">
        <x:v>DYN-SPEC-Q-128</x:v>
      </x:c>
      <x:c r="B861" s="177" t="str">
        <x:v>base 2030 externalLaser 204.8T数量</x:v>
      </x:c>
      <x:c r="C861" s="230" t="n">
        <x:f>'规格明细'!G128</x:f>
        <x:v>122880000</x:v>
      </x:c>
      <x:c r="D861" s="230" t="n">
        <x:f>'规格明细'!D128*10000*'规格明细'!E128</x:f>
        <x:v>122880000</x:v>
      </x:c>
      <x:c r="E861" s="230" t="n">
        <x:f>C861-D861</x:f>
        <x:v>0</x:v>
      </x:c>
      <x:c r="F861" s="177" t="str">
        <x:f>IF(ABS(E861)&lt;0.000001,"PASS","FAIL")</x:f>
        <x:v>PASS</x:v>
      </x:c>
      <x:c r="G861" s="177" t="str">
        <x:v>出货量×单位用量</x:v>
      </x:c>
      <x:c r="H861" s="184"/>
    </x:row>
    <x:row r="862">
      <x:c r="A862" s="177" t="str">
        <x:v>DYN-SPEC-TAM-128</x:v>
      </x:c>
      <x:c r="B862" s="177" t="str">
        <x:v>base 2030 externalLaser 204.8T空间</x:v>
      </x:c>
      <x:c r="C862" s="230" t="n">
        <x:f>'规格明细'!K128</x:f>
        <x:v>57.33089280000001</x:v>
      </x:c>
      <x:c r="D862" s="230" t="n">
        <x:f>'规格明细'!G128*'规格明细'!I128/100000000</x:f>
        <x:v>57.33089280000001</x:v>
      </x:c>
      <x:c r="E862" s="230" t="n">
        <x:f>C862-D862</x:f>
        <x:v>0</x:v>
      </x:c>
      <x:c r="F862" s="177" t="str">
        <x:f>IF(ABS(E862)&lt;0.000001,"PASS","FAIL")</x:f>
        <x:v>PASS</x:v>
      </x:c>
      <x:c r="G862" s="177" t="str">
        <x:v>组件数量×价格</x:v>
      </x:c>
      <x:c r="H862" s="184"/>
    </x:row>
    <x:row r="863">
      <x:c r="A863" s="177" t="str">
        <x:v>DYN-SPEC-REV-128</x:v>
      </x:c>
      <x:c r="B863" s="177" t="str">
        <x:v>base 2030 externalLaser 204.8T理论收入</x:v>
      </x:c>
      <x:c r="C863" s="230" t="n">
        <x:f>'规格明细'!L128</x:f>
        <x:v>25.798901760000003</x:v>
      </x:c>
      <x:c r="D863" s="230" t="n">
        <x:f>'规格明细'!K128*'规格明细'!J128</x:f>
        <x:v>25.798901760000003</x:v>
      </x:c>
      <x:c r="E863" s="230" t="n">
        <x:f>C863-D863</x:f>
        <x:v>0</x:v>
      </x:c>
      <x:c r="F863" s="177" t="str">
        <x:f>IF(ABS(E863)&lt;0.000001,"PASS","FAIL")</x:f>
        <x:v>PASS</x:v>
      </x:c>
      <x:c r="G863" s="177" t="str">
        <x:v>份额只乘一次</x:v>
      </x:c>
      <x:c r="H863" s="184"/>
    </x:row>
    <x:row r="864">
      <x:c r="A864" s="177" t="str">
        <x:v>DYN-SPEC-Q-129</x:v>
      </x:c>
      <x:c r="B864" s="177" t="str">
        <x:v>base 2030 equipment 102.4T数量</x:v>
      </x:c>
      <x:c r="C864" s="230" t="n">
        <x:f>'规格明细'!G129</x:f>
        <x:v>7679.999999999998</x:v>
      </x:c>
      <x:c r="D864" s="230" t="n">
        <x:f>'规格明细'!D129*10000*'规格明细'!E129</x:f>
        <x:v>7679.999999999998</x:v>
      </x:c>
      <x:c r="E864" s="230" t="n">
        <x:f>C864-D864</x:f>
        <x:v>0</x:v>
      </x:c>
      <x:c r="F864" s="177" t="str">
        <x:f>IF(ABS(E864)&lt;0.000001,"PASS","FAIL")</x:f>
        <x:v>PASS</x:v>
      </x:c>
      <x:c r="G864" s="177" t="str">
        <x:v>出货量×单位用量</x:v>
      </x:c>
      <x:c r="H864" s="184"/>
    </x:row>
    <x:row r="865">
      <x:c r="A865" s="177" t="str">
        <x:v>DYN-SPEC-TAM-129</x:v>
      </x:c>
      <x:c r="B865" s="177" t="str">
        <x:v>base 2030 equipment 102.4T空间</x:v>
      </x:c>
      <x:c r="C865" s="230" t="n">
        <x:f>'规格明细'!K129</x:f>
        <x:v>4.915199999999999</x:v>
      </x:c>
      <x:c r="D865" s="230" t="n">
        <x:f>'规格明细'!G129*'规格明细'!I129/100000000</x:f>
        <x:v>4.915199999999999</x:v>
      </x:c>
      <x:c r="E865" s="230" t="n">
        <x:f>C865-D865</x:f>
        <x:v>0</x:v>
      </x:c>
      <x:c r="F865" s="177" t="str">
        <x:f>IF(ABS(E865)&lt;0.000001,"PASS","FAIL")</x:f>
        <x:v>PASS</x:v>
      </x:c>
      <x:c r="G865" s="177" t="str">
        <x:v>组件数量×价格</x:v>
      </x:c>
      <x:c r="H865" s="184"/>
    </x:row>
    <x:row r="866">
      <x:c r="A866" s="177" t="str">
        <x:v>DYN-SPEC-REV-129</x:v>
      </x:c>
      <x:c r="B866" s="177" t="str">
        <x:v>base 2030 equipment 102.4T理论收入</x:v>
      </x:c>
      <x:c r="C866" s="230" t="n">
        <x:f>'规格明细'!L129</x:f>
        <x:v>2.7033599999999995</x:v>
      </x:c>
      <x:c r="D866" s="230" t="n">
        <x:f>'规格明细'!K129*'规格明细'!J129</x:f>
        <x:v>2.7033599999999995</x:v>
      </x:c>
      <x:c r="E866" s="230" t="n">
        <x:f>C866-D866</x:f>
        <x:v>0</x:v>
      </x:c>
      <x:c r="F866" s="177" t="str">
        <x:f>IF(ABS(E866)&lt;0.000001,"PASS","FAIL")</x:f>
        <x:v>PASS</x:v>
      </x:c>
      <x:c r="G866" s="177" t="str">
        <x:v>份额只乘一次</x:v>
      </x:c>
      <x:c r="H866" s="184"/>
    </x:row>
    <x:row r="867">
      <x:c r="A867" s="177" t="str">
        <x:v>DYN-SPEC-Q-130</x:v>
      </x:c>
      <x:c r="B867" s="177" t="str">
        <x:v>base 2030 equipment 204.8T数量</x:v>
      </x:c>
      <x:c r="C867" s="230" t="n">
        <x:f>'规格明细'!G130</x:f>
        <x:v>30720</x:v>
      </x:c>
      <x:c r="D867" s="230" t="n">
        <x:f>'规格明细'!D130*10000*'规格明细'!E130</x:f>
        <x:v>30720</x:v>
      </x:c>
      <x:c r="E867" s="230" t="n">
        <x:f>C867-D867</x:f>
        <x:v>0</x:v>
      </x:c>
      <x:c r="F867" s="177" t="str">
        <x:f>IF(ABS(E867)&lt;0.000001,"PASS","FAIL")</x:f>
        <x:v>PASS</x:v>
      </x:c>
      <x:c r="G867" s="177" t="str">
        <x:v>出货量×单位用量</x:v>
      </x:c>
      <x:c r="H867" s="184"/>
    </x:row>
    <x:row r="868">
      <x:c r="A868" s="177" t="str">
        <x:v>DYN-SPEC-TAM-130</x:v>
      </x:c>
      <x:c r="B868" s="177" t="str">
        <x:v>base 2030 equipment 204.8T空间</x:v>
      </x:c>
      <x:c r="C868" s="230" t="n">
        <x:f>'规格明细'!K130</x:f>
        <x:v>24.576</x:v>
      </x:c>
      <x:c r="D868" s="230" t="n">
        <x:f>'规格明细'!G130*'规格明细'!I130/100000000</x:f>
        <x:v>24.576</x:v>
      </x:c>
      <x:c r="E868" s="230" t="n">
        <x:f>C868-D868</x:f>
        <x:v>0</x:v>
      </x:c>
      <x:c r="F868" s="177" t="str">
        <x:f>IF(ABS(E868)&lt;0.000001,"PASS","FAIL")</x:f>
        <x:v>PASS</x:v>
      </x:c>
      <x:c r="G868" s="177" t="str">
        <x:v>组件数量×价格</x:v>
      </x:c>
      <x:c r="H868" s="184"/>
    </x:row>
    <x:row r="869">
      <x:c r="A869" s="177" t="str">
        <x:v>DYN-SPEC-REV-130</x:v>
      </x:c>
      <x:c r="B869" s="177" t="str">
        <x:v>base 2030 equipment 204.8T理论收入</x:v>
      </x:c>
      <x:c r="C869" s="230" t="n">
        <x:f>'规格明细'!L130</x:f>
        <x:v>14.745600000000003</x:v>
      </x:c>
      <x:c r="D869" s="230" t="n">
        <x:f>'规格明细'!K130*'规格明细'!J130</x:f>
        <x:v>14.745600000000003</x:v>
      </x:c>
      <x:c r="E869" s="230" t="n">
        <x:f>C869-D869</x:f>
        <x:v>0</x:v>
      </x:c>
      <x:c r="F869" s="177" t="str">
        <x:f>IF(ABS(E869)&lt;0.000001,"PASS","FAIL")</x:f>
        <x:v>PASS</x:v>
      </x:c>
      <x:c r="G869" s="177" t="str">
        <x:v>份额只乘一次</x:v>
      </x:c>
      <x:c r="H869" s="184"/>
    </x:row>
    <x:row r="870">
      <x:c r="A870" s="177" t="str">
        <x:v>DYN-SPEC-Q-136</x:v>
      </x:c>
      <x:c r="B870" s="177" t="str">
        <x:v>optimistic 2026 pluggable-800g 800G数量</x:v>
      </x:c>
      <x:c r="C870" s="230" t="n">
        <x:f>'规格明细'!G136</x:f>
        <x:v>560000000</x:v>
      </x:c>
      <x:c r="D870" s="230" t="n">
        <x:f>'规格明细'!D136*10000*'规格明细'!E136</x:f>
        <x:v>560000000</x:v>
      </x:c>
      <x:c r="E870" s="230" t="n">
        <x:f>C870-D870</x:f>
        <x:v>0</x:v>
      </x:c>
      <x:c r="F870" s="177" t="str">
        <x:f>IF(ABS(E870)&lt;0.000001,"PASS","FAIL")</x:f>
        <x:v>PASS</x:v>
      </x:c>
      <x:c r="G870" s="177" t="str">
        <x:v>出货量×单位用量</x:v>
      </x:c>
      <x:c r="H870" s="184"/>
    </x:row>
    <x:row r="871">
      <x:c r="A871" s="177" t="str">
        <x:v>DYN-SPEC-TAM-136</x:v>
      </x:c>
      <x:c r="B871" s="177" t="str">
        <x:v>optimistic 2026 pluggable-800g 800G空间</x:v>
      </x:c>
      <x:c r="C871" s="230" t="n">
        <x:f>'规格明细'!K136</x:f>
        <x:v>24.64</x:v>
      </x:c>
      <x:c r="D871" s="230" t="n">
        <x:f>'规格明细'!G136*'规格明细'!I136/100000000</x:f>
        <x:v>24.64</x:v>
      </x:c>
      <x:c r="E871" s="230" t="n">
        <x:f>C871-D871</x:f>
        <x:v>0</x:v>
      </x:c>
      <x:c r="F871" s="177" t="str">
        <x:f>IF(ABS(E871)&lt;0.000001,"PASS","FAIL")</x:f>
        <x:v>PASS</x:v>
      </x:c>
      <x:c r="G871" s="177" t="str">
        <x:v>组件数量×价格</x:v>
      </x:c>
      <x:c r="H871" s="184"/>
    </x:row>
    <x:row r="872">
      <x:c r="A872" s="177" t="str">
        <x:v>DYN-SPEC-REV-136</x:v>
      </x:c>
      <x:c r="B872" s="177" t="str">
        <x:v>optimistic 2026 pluggable-800g 800G理论收入</x:v>
      </x:c>
      <x:c r="C872" s="230" t="n">
        <x:f>'规格明细'!L136</x:f>
        <x:v>1.1088</x:v>
      </x:c>
      <x:c r="D872" s="230" t="n">
        <x:f>'规格明细'!K136*'规格明细'!J136</x:f>
        <x:v>1.1088</x:v>
      </x:c>
      <x:c r="E872" s="230" t="n">
        <x:f>C872-D872</x:f>
        <x:v>0</x:v>
      </x:c>
      <x:c r="F872" s="177" t="str">
        <x:f>IF(ABS(E872)&lt;0.000001,"PASS","FAIL")</x:f>
        <x:v>PASS</x:v>
      </x:c>
      <x:c r="G872" s="177" t="str">
        <x:v>份额只乘一次</x:v>
      </x:c>
      <x:c r="H872" s="184"/>
    </x:row>
    <x:row r="873">
      <x:c r="A873" s="177" t="str">
        <x:v>DYN-SPEC-Q-137</x:v>
      </x:c>
      <x:c r="B873" s="177" t="str">
        <x:v>optimistic 2026 pluggable-1p6t 1.6T数量</x:v>
      </x:c>
      <x:c r="C873" s="230" t="n">
        <x:f>'规格明细'!G137</x:f>
        <x:v>188000000</x:v>
      </x:c>
      <x:c r="D873" s="230" t="n">
        <x:f>'规格明细'!D137*10000*'规格明细'!E137</x:f>
        <x:v>188000000</x:v>
      </x:c>
      <x:c r="E873" s="230" t="n">
        <x:f>C873-D873</x:f>
        <x:v>0</x:v>
      </x:c>
      <x:c r="F873" s="177" t="str">
        <x:f>IF(ABS(E873)&lt;0.000001,"PASS","FAIL")</x:f>
        <x:v>PASS</x:v>
      </x:c>
      <x:c r="G873" s="177" t="str">
        <x:v>出货量×单位用量</x:v>
      </x:c>
      <x:c r="H873" s="184"/>
    </x:row>
    <x:row r="874">
      <x:c r="A874" s="177" t="str">
        <x:v>DYN-SPEC-TAM-137</x:v>
      </x:c>
      <x:c r="B874" s="177" t="str">
        <x:v>optimistic 2026 pluggable-1p6t 1.6T空间</x:v>
      </x:c>
      <x:c r="C874" s="230" t="n">
        <x:f>'规格明细'!K137</x:f>
        <x:v>11.5808</x:v>
      </x:c>
      <x:c r="D874" s="230" t="n">
        <x:f>'规格明细'!G137*'规格明细'!I137/100000000</x:f>
        <x:v>11.5808</x:v>
      </x:c>
      <x:c r="E874" s="230" t="n">
        <x:f>C874-D874</x:f>
        <x:v>0</x:v>
      </x:c>
      <x:c r="F874" s="177" t="str">
        <x:f>IF(ABS(E874)&lt;0.000001,"PASS","FAIL")</x:f>
        <x:v>PASS</x:v>
      </x:c>
      <x:c r="G874" s="177" t="str">
        <x:v>组件数量×价格</x:v>
      </x:c>
      <x:c r="H874" s="184"/>
    </x:row>
    <x:row r="875">
      <x:c r="A875" s="177" t="str">
        <x:v>DYN-SPEC-REV-137</x:v>
      </x:c>
      <x:c r="B875" s="177" t="str">
        <x:v>optimistic 2026 pluggable-1p6t 1.6T理论收入</x:v>
      </x:c>
      <x:c r="C875" s="230" t="n">
        <x:f>'规格明细'!L137</x:f>
        <x:v>0.5211359999999999</x:v>
      </x:c>
      <x:c r="D875" s="230" t="n">
        <x:f>'规格明细'!K137*'规格明细'!J137</x:f>
        <x:v>0.5211359999999999</x:v>
      </x:c>
      <x:c r="E875" s="230" t="n">
        <x:f>C875-D875</x:f>
        <x:v>0</x:v>
      </x:c>
      <x:c r="F875" s="177" t="str">
        <x:f>IF(ABS(E875)&lt;0.000001,"PASS","FAIL")</x:f>
        <x:v>PASS</x:v>
      </x:c>
      <x:c r="G875" s="177" t="str">
        <x:v>份额只乘一次</x:v>
      </x:c>
      <x:c r="H875" s="184"/>
    </x:row>
    <x:row r="876">
      <x:c r="A876" s="177" t="str">
        <x:v>DYN-SPEC-Q-138</x:v>
      </x:c>
      <x:c r="B876" s="177" t="str">
        <x:v>optimistic 2026 ocs 小端口参考系统数量</x:v>
      </x:c>
      <x:c r="C876" s="230" t="n">
        <x:f>'规格明细'!G138</x:f>
        <x:v>3840000</x:v>
      </x:c>
      <x:c r="D876" s="230" t="n">
        <x:f>'规格明细'!D138*10000*'规格明细'!E138</x:f>
        <x:v>3840000</x:v>
      </x:c>
      <x:c r="E876" s="230" t="n">
        <x:f>C876-D876</x:f>
        <x:v>0</x:v>
      </x:c>
      <x:c r="F876" s="177" t="str">
        <x:f>IF(ABS(E876)&lt;0.000001,"PASS","FAIL")</x:f>
        <x:v>PASS</x:v>
      </x:c>
      <x:c r="G876" s="177" t="str">
        <x:v>出货量×单位用量</x:v>
      </x:c>
      <x:c r="H876" s="184"/>
    </x:row>
    <x:row r="877">
      <x:c r="A877" s="177" t="str">
        <x:v>DYN-SPEC-TAM-138</x:v>
      </x:c>
      <x:c r="B877" s="177" t="str">
        <x:v>optimistic 2026 ocs 小端口参考系统空间</x:v>
      </x:c>
      <x:c r="C877" s="230" t="n">
        <x:f>'规格明细'!K138</x:f>
        <x:v>0.96</x:v>
      </x:c>
      <x:c r="D877" s="230" t="n">
        <x:f>'规格明细'!G138*'规格明细'!I138/100000000</x:f>
        <x:v>0.96</x:v>
      </x:c>
      <x:c r="E877" s="230" t="n">
        <x:f>C877-D877</x:f>
        <x:v>0</x:v>
      </x:c>
      <x:c r="F877" s="177" t="str">
        <x:f>IF(ABS(E877)&lt;0.000001,"PASS","FAIL")</x:f>
        <x:v>PASS</x:v>
      </x:c>
      <x:c r="G877" s="177" t="str">
        <x:v>组件数量×价格</x:v>
      </x:c>
      <x:c r="H877" s="184"/>
    </x:row>
    <x:row r="878">
      <x:c r="A878" s="177" t="str">
        <x:v>DYN-SPEC-REV-138</x:v>
      </x:c>
      <x:c r="B878" s="177" t="str">
        <x:v>optimistic 2026 ocs 小端口参考系统理论收入</x:v>
      </x:c>
      <x:c r="C878" s="230" t="n">
        <x:f>'规格明细'!L138</x:f>
        <x:v>0.96</x:v>
      </x:c>
      <x:c r="D878" s="230" t="n">
        <x:f>'规格明细'!K138*'规格明细'!J138</x:f>
        <x:v>0.96</x:v>
      </x:c>
      <x:c r="E878" s="230" t="n">
        <x:f>C878-D878</x:f>
        <x:v>0</x:v>
      </x:c>
      <x:c r="F878" s="177" t="str">
        <x:f>IF(ABS(E878)&lt;0.000001,"PASS","FAIL")</x:f>
        <x:v>PASS</x:v>
      </x:c>
      <x:c r="G878" s="177" t="str">
        <x:v>份额只乘一次</x:v>
      </x:c>
      <x:c r="H878" s="184"/>
    </x:row>
    <x:row r="879">
      <x:c r="A879" s="177" t="str">
        <x:v>DYN-SPEC-Q-139</x:v>
      </x:c>
      <x:c r="B879" s="177" t="str">
        <x:v>optimistic 2026 ocs 大端口320×320数量</x:v>
      </x:c>
      <x:c r="C879" s="230" t="n">
        <x:f>'规格明细'!G139</x:f>
        <x:v>3200000</x:v>
      </x:c>
      <x:c r="D879" s="230" t="n">
        <x:f>'规格明细'!D139*10000*'规格明细'!E139</x:f>
        <x:v>3200000</x:v>
      </x:c>
      <x:c r="E879" s="230" t="n">
        <x:f>C879-D879</x:f>
        <x:v>0</x:v>
      </x:c>
      <x:c r="F879" s="177" t="str">
        <x:f>IF(ABS(E879)&lt;0.000001,"PASS","FAIL")</x:f>
        <x:v>PASS</x:v>
      </x:c>
      <x:c r="G879" s="177" t="str">
        <x:v>出货量×单位用量</x:v>
      </x:c>
      <x:c r="H879" s="184"/>
    </x:row>
    <x:row r="880">
      <x:c r="A880" s="177" t="str">
        <x:v>DYN-SPEC-TAM-139</x:v>
      </x:c>
      <x:c r="B880" s="177" t="str">
        <x:v>optimistic 2026 ocs 大端口320×320空间</x:v>
      </x:c>
      <x:c r="C880" s="230" t="n">
        <x:f>'规格明细'!K139</x:f>
        <x:v>1.6</x:v>
      </x:c>
      <x:c r="D880" s="230" t="n">
        <x:f>'规格明细'!G139*'规格明细'!I139/100000000</x:f>
        <x:v>1.6</x:v>
      </x:c>
      <x:c r="E880" s="230" t="n">
        <x:f>C880-D880</x:f>
        <x:v>0</x:v>
      </x:c>
      <x:c r="F880" s="177" t="str">
        <x:f>IF(ABS(E880)&lt;0.000001,"PASS","FAIL")</x:f>
        <x:v>PASS</x:v>
      </x:c>
      <x:c r="G880" s="177" t="str">
        <x:v>组件数量×价格</x:v>
      </x:c>
      <x:c r="H880" s="184"/>
    </x:row>
    <x:row r="881">
      <x:c r="A881" s="177" t="str">
        <x:v>DYN-SPEC-REV-139</x:v>
      </x:c>
      <x:c r="B881" s="177" t="str">
        <x:v>optimistic 2026 ocs 大端口320×320理论收入</x:v>
      </x:c>
      <x:c r="C881" s="230" t="n">
        <x:f>'规格明细'!L139</x:f>
        <x:v>1.6</x:v>
      </x:c>
      <x:c r="D881" s="230" t="n">
        <x:f>'规格明细'!K139*'规格明细'!J139</x:f>
        <x:v>1.6</x:v>
      </x:c>
      <x:c r="E881" s="230" t="n">
        <x:f>C881-D881</x:f>
        <x:v>0</x:v>
      </x:c>
      <x:c r="F881" s="177" t="str">
        <x:f>IF(ABS(E881)&lt;0.000001,"PASS","FAIL")</x:f>
        <x:v>PASS</x:v>
      </x:c>
      <x:c r="G881" s="177" t="str">
        <x:v>份额只乘一次</x:v>
      </x:c>
      <x:c r="H881" s="184"/>
    </x:row>
    <x:row r="882">
      <x:c r="A882" s="177" t="str">
        <x:v>DYN-SPEC-Q-140</x:v>
      </x:c>
      <x:c r="B882" s="177" t="str">
        <x:v>optimistic 2026 vGroove 102.4T数量</x:v>
      </x:c>
      <x:c r="C882" s="230" t="n">
        <x:f>'规格明细'!G140</x:f>
        <x:v>23040000</x:v>
      </x:c>
      <x:c r="D882" s="230" t="n">
        <x:f>'规格明细'!D140*10000*'规格明细'!E140</x:f>
        <x:v>23040000</x:v>
      </x:c>
      <x:c r="E882" s="230" t="n">
        <x:f>C882-D882</x:f>
        <x:v>0</x:v>
      </x:c>
      <x:c r="F882" s="177" t="str">
        <x:f>IF(ABS(E882)&lt;0.000001,"PASS","FAIL")</x:f>
        <x:v>PASS</x:v>
      </x:c>
      <x:c r="G882" s="177" t="str">
        <x:v>出货量×单位用量</x:v>
      </x:c>
      <x:c r="H882" s="184"/>
    </x:row>
    <x:row r="883">
      <x:c r="A883" s="177" t="str">
        <x:v>DYN-SPEC-TAM-140</x:v>
      </x:c>
      <x:c r="B883" s="177" t="str">
        <x:v>optimistic 2026 vGroove 102.4T空间</x:v>
      </x:c>
      <x:c r="C883" s="230" t="n">
        <x:f>'规格明细'!K140</x:f>
        <x:v>2.2708224</x:v>
      </x:c>
      <x:c r="D883" s="230" t="n">
        <x:f>'规格明细'!G140*'规格明细'!I140/100000000</x:f>
        <x:v>2.2708224</x:v>
      </x:c>
      <x:c r="E883" s="230" t="n">
        <x:f>C883-D883</x:f>
        <x:v>0</x:v>
      </x:c>
      <x:c r="F883" s="177" t="str">
        <x:f>IF(ABS(E883)&lt;0.000001,"PASS","FAIL")</x:f>
        <x:v>PASS</x:v>
      </x:c>
      <x:c r="G883" s="177" t="str">
        <x:v>组件数量×价格</x:v>
      </x:c>
      <x:c r="H883" s="184"/>
    </x:row>
    <x:row r="884">
      <x:c r="A884" s="177" t="str">
        <x:v>DYN-SPEC-REV-140</x:v>
      </x:c>
      <x:c r="B884" s="177" t="str">
        <x:v>optimistic 2026 vGroove 102.4T理论收入</x:v>
      </x:c>
      <x:c r="C884" s="230" t="n">
        <x:f>'规格明细'!L140</x:f>
        <x:v>1.14960384</x:v>
      </x:c>
      <x:c r="D884" s="230" t="n">
        <x:f>'规格明细'!K140*'规格明细'!J140</x:f>
        <x:v>1.14960384</x:v>
      </x:c>
      <x:c r="E884" s="230" t="n">
        <x:f>C884-D884</x:f>
        <x:v>0</x:v>
      </x:c>
      <x:c r="F884" s="177" t="str">
        <x:f>IF(ABS(E884)&lt;0.000001,"PASS","FAIL")</x:f>
        <x:v>PASS</x:v>
      </x:c>
      <x:c r="G884" s="177" t="str">
        <x:v>份额只乘一次</x:v>
      </x:c>
      <x:c r="H884" s="184"/>
    </x:row>
    <x:row r="885">
      <x:c r="A885" s="177" t="str">
        <x:v>DYN-SPEC-Q-141</x:v>
      </x:c>
      <x:c r="B885" s="177" t="str">
        <x:v>optimistic 2026 vGroove 204.8T数量</x:v>
      </x:c>
      <x:c r="C885" s="230" t="n">
        <x:f>'规格明细'!G141</x:f>
        <x:v>0</x:v>
      </x:c>
      <x:c r="D885" s="230" t="n">
        <x:f>'规格明细'!D141*10000*'规格明细'!E141</x:f>
        <x:v>0</x:v>
      </x:c>
      <x:c r="E885" s="230" t="n">
        <x:f>C885-D885</x:f>
        <x:v>0</x:v>
      </x:c>
      <x:c r="F885" s="177" t="str">
        <x:f>IF(ABS(E885)&lt;0.000001,"PASS","FAIL")</x:f>
        <x:v>PASS</x:v>
      </x:c>
      <x:c r="G885" s="177" t="str">
        <x:v>出货量×单位用量</x:v>
      </x:c>
      <x:c r="H885" s="184"/>
    </x:row>
    <x:row r="886">
      <x:c r="A886" s="177" t="str">
        <x:v>DYN-SPEC-TAM-141</x:v>
      </x:c>
      <x:c r="B886" s="177" t="str">
        <x:v>optimistic 2026 vGroove 204.8T空间</x:v>
      </x:c>
      <x:c r="C886" s="230" t="n">
        <x:f>'规格明细'!K141</x:f>
        <x:v>0</x:v>
      </x:c>
      <x:c r="D886" s="230" t="n">
        <x:f>'规格明细'!G141*'规格明细'!I141/100000000</x:f>
        <x:v>0</x:v>
      </x:c>
      <x:c r="E886" s="230" t="n">
        <x:f>C886-D886</x:f>
        <x:v>0</x:v>
      </x:c>
      <x:c r="F886" s="177" t="str">
        <x:f>IF(ABS(E886)&lt;0.000001,"PASS","FAIL")</x:f>
        <x:v>PASS</x:v>
      </x:c>
      <x:c r="G886" s="177" t="str">
        <x:v>组件数量×价格</x:v>
      </x:c>
      <x:c r="H886" s="184"/>
    </x:row>
    <x:row r="887">
      <x:c r="A887" s="177" t="str">
        <x:v>DYN-SPEC-REV-141</x:v>
      </x:c>
      <x:c r="B887" s="177" t="str">
        <x:v>optimistic 2026 vGroove 204.8T理论收入</x:v>
      </x:c>
      <x:c r="C887" s="230" t="n">
        <x:f>'规格明细'!L141</x:f>
        <x:v>0</x:v>
      </x:c>
      <x:c r="D887" s="230" t="n">
        <x:f>'规格明细'!K141*'规格明细'!J141</x:f>
        <x:v>0</x:v>
      </x:c>
      <x:c r="E887" s="230" t="n">
        <x:f>C887-D887</x:f>
        <x:v>0</x:v>
      </x:c>
      <x:c r="F887" s="177" t="str">
        <x:f>IF(ABS(E887)&lt;0.000001,"PASS","FAIL")</x:f>
        <x:v>PASS</x:v>
      </x:c>
      <x:c r="G887" s="177" t="str">
        <x:v>份额只乘一次</x:v>
      </x:c>
      <x:c r="H887" s="184"/>
    </x:row>
    <x:row r="888">
      <x:c r="A888" s="177" t="str">
        <x:v>DYN-SPEC-Q-142</x:v>
      </x:c>
      <x:c r="B888" s="177" t="str">
        <x:v>optimistic 2026 fauPrism 102.4T数量</x:v>
      </x:c>
      <x:c r="C888" s="230" t="n">
        <x:f>'规格明细'!G142</x:f>
        <x:v>23040000</x:v>
      </x:c>
      <x:c r="D888" s="230" t="n">
        <x:f>'规格明细'!D142*10000*'规格明细'!E142</x:f>
        <x:v>23040000</x:v>
      </x:c>
      <x:c r="E888" s="230" t="n">
        <x:f>C888-D888</x:f>
        <x:v>0</x:v>
      </x:c>
      <x:c r="F888" s="177" t="str">
        <x:f>IF(ABS(E888)&lt;0.000001,"PASS","FAIL")</x:f>
        <x:v>PASS</x:v>
      </x:c>
      <x:c r="G888" s="177" t="str">
        <x:v>出货量×单位用量</x:v>
      </x:c>
      <x:c r="H888" s="184"/>
    </x:row>
    <x:row r="889">
      <x:c r="A889" s="177" t="str">
        <x:v>DYN-SPEC-TAM-142</x:v>
      </x:c>
      <x:c r="B889" s="177" t="str">
        <x:v>optimistic 2026 fauPrism 102.4T空间</x:v>
      </x:c>
      <x:c r="C889" s="230" t="n">
        <x:f>'规格明细'!K142</x:f>
        <x:v>3.2440320000000007</x:v>
      </x:c>
      <x:c r="D889" s="230" t="n">
        <x:f>'规格明细'!G142*'规格明细'!I142/100000000</x:f>
        <x:v>3.2440320000000007</x:v>
      </x:c>
      <x:c r="E889" s="230" t="n">
        <x:f>C889-D889</x:f>
        <x:v>0</x:v>
      </x:c>
      <x:c r="F889" s="177" t="str">
        <x:f>IF(ABS(E889)&lt;0.000001,"PASS","FAIL")</x:f>
        <x:v>PASS</x:v>
      </x:c>
      <x:c r="G889" s="177" t="str">
        <x:v>组件数量×价格</x:v>
      </x:c>
      <x:c r="H889" s="184"/>
    </x:row>
    <x:row r="890">
      <x:c r="A890" s="177" t="str">
        <x:v>DYN-SPEC-REV-142</x:v>
      </x:c>
      <x:c r="B890" s="177" t="str">
        <x:v>optimistic 2026 fauPrism 102.4T理论收入</x:v>
      </x:c>
      <x:c r="C890" s="230" t="n">
        <x:f>'规格明细'!L142</x:f>
        <x:v>1.4598144000000004</x:v>
      </x:c>
      <x:c r="D890" s="230" t="n">
        <x:f>'规格明细'!K142*'规格明细'!J142</x:f>
        <x:v>1.4598144000000004</x:v>
      </x:c>
      <x:c r="E890" s="230" t="n">
        <x:f>C890-D890</x:f>
        <x:v>0</x:v>
      </x:c>
      <x:c r="F890" s="177" t="str">
        <x:f>IF(ABS(E890)&lt;0.000001,"PASS","FAIL")</x:f>
        <x:v>PASS</x:v>
      </x:c>
      <x:c r="G890" s="177" t="str">
        <x:v>份额只乘一次</x:v>
      </x:c>
      <x:c r="H890" s="184"/>
    </x:row>
    <x:row r="891">
      <x:c r="A891" s="177" t="str">
        <x:v>DYN-SPEC-Q-143</x:v>
      </x:c>
      <x:c r="B891" s="177" t="str">
        <x:v>optimistic 2026 fauPrism 204.8T数量</x:v>
      </x:c>
      <x:c r="C891" s="230" t="n">
        <x:f>'规格明细'!G143</x:f>
        <x:v>0</x:v>
      </x:c>
      <x:c r="D891" s="230" t="n">
        <x:f>'规格明细'!D143*10000*'规格明细'!E143</x:f>
        <x:v>0</x:v>
      </x:c>
      <x:c r="E891" s="230" t="n">
        <x:f>C891-D891</x:f>
        <x:v>0</x:v>
      </x:c>
      <x:c r="F891" s="177" t="str">
        <x:f>IF(ABS(E891)&lt;0.000001,"PASS","FAIL")</x:f>
        <x:v>PASS</x:v>
      </x:c>
      <x:c r="G891" s="177" t="str">
        <x:v>出货量×单位用量</x:v>
      </x:c>
      <x:c r="H891" s="184"/>
    </x:row>
    <x:row r="892">
      <x:c r="A892" s="177" t="str">
        <x:v>DYN-SPEC-TAM-143</x:v>
      </x:c>
      <x:c r="B892" s="177" t="str">
        <x:v>optimistic 2026 fauPrism 204.8T空间</x:v>
      </x:c>
      <x:c r="C892" s="230" t="n">
        <x:f>'规格明细'!K143</x:f>
        <x:v>0</x:v>
      </x:c>
      <x:c r="D892" s="230" t="n">
        <x:f>'规格明细'!G143*'规格明细'!I143/100000000</x:f>
        <x:v>0</x:v>
      </x:c>
      <x:c r="E892" s="230" t="n">
        <x:f>C892-D892</x:f>
        <x:v>0</x:v>
      </x:c>
      <x:c r="F892" s="177" t="str">
        <x:f>IF(ABS(E892)&lt;0.000001,"PASS","FAIL")</x:f>
        <x:v>PASS</x:v>
      </x:c>
      <x:c r="G892" s="177" t="str">
        <x:v>组件数量×价格</x:v>
      </x:c>
      <x:c r="H892" s="184"/>
    </x:row>
    <x:row r="893">
      <x:c r="A893" s="177" t="str">
        <x:v>DYN-SPEC-REV-143</x:v>
      </x:c>
      <x:c r="B893" s="177" t="str">
        <x:v>optimistic 2026 fauPrism 204.8T理论收入</x:v>
      </x:c>
      <x:c r="C893" s="230" t="n">
        <x:f>'规格明细'!L143</x:f>
        <x:v>0</x:v>
      </x:c>
      <x:c r="D893" s="230" t="n">
        <x:f>'规格明细'!K143*'规格明细'!J143</x:f>
        <x:v>0</x:v>
      </x:c>
      <x:c r="E893" s="230" t="n">
        <x:f>C893-D893</x:f>
        <x:v>0</x:v>
      </x:c>
      <x:c r="F893" s="177" t="str">
        <x:f>IF(ABS(E893)&lt;0.000001,"PASS","FAIL")</x:f>
        <x:v>PASS</x:v>
      </x:c>
      <x:c r="G893" s="177" t="str">
        <x:v>份额只乘一次</x:v>
      </x:c>
      <x:c r="H893" s="184"/>
    </x:row>
    <x:row r="894">
      <x:c r="A894" s="177" t="str">
        <x:v>DYN-SPEC-Q-144</x:v>
      </x:c>
      <x:c r="B894" s="177" t="str">
        <x:v>optimistic 2026 externalLaser 102.4T数量</x:v>
      </x:c>
      <x:c r="C894" s="230" t="n">
        <x:f>'规格明细'!G144</x:f>
        <x:v>2560000</x:v>
      </x:c>
      <x:c r="D894" s="230" t="n">
        <x:f>'规格明细'!D144*10000*'规格明细'!E144</x:f>
        <x:v>2560000</x:v>
      </x:c>
      <x:c r="E894" s="230" t="n">
        <x:f>C894-D894</x:f>
        <x:v>0</x:v>
      </x:c>
      <x:c r="F894" s="177" t="str">
        <x:f>IF(ABS(E894)&lt;0.000001,"PASS","FAIL")</x:f>
        <x:v>PASS</x:v>
      </x:c>
      <x:c r="G894" s="177" t="str">
        <x:v>出货量×单位用量</x:v>
      </x:c>
      <x:c r="H894" s="184"/>
    </x:row>
    <x:row r="895">
      <x:c r="A895" s="177" t="str">
        <x:v>DYN-SPEC-TAM-144</x:v>
      </x:c>
      <x:c r="B895" s="177" t="str">
        <x:v>optimistic 2026 externalLaser 102.4T空间</x:v>
      </x:c>
      <x:c r="C895" s="230" t="n">
        <x:f>'规格明细'!K144</x:f>
        <x:v>1.80224</x:v>
      </x:c>
      <x:c r="D895" s="230" t="n">
        <x:f>'规格明细'!G144*'规格明细'!I144/100000000</x:f>
        <x:v>1.80224</x:v>
      </x:c>
      <x:c r="E895" s="230" t="n">
        <x:f>C895-D895</x:f>
        <x:v>0</x:v>
      </x:c>
      <x:c r="F895" s="177" t="str">
        <x:f>IF(ABS(E895)&lt;0.000001,"PASS","FAIL")</x:f>
        <x:v>PASS</x:v>
      </x:c>
      <x:c r="G895" s="177" t="str">
        <x:v>组件数量×价格</x:v>
      </x:c>
      <x:c r="H895" s="184"/>
    </x:row>
    <x:row r="896">
      <x:c r="A896" s="177" t="str">
        <x:v>DYN-SPEC-REV-144</x:v>
      </x:c>
      <x:c r="B896" s="177" t="str">
        <x:v>optimistic 2026 externalLaser 102.4T理论收入</x:v>
      </x:c>
      <x:c r="C896" s="230" t="n">
        <x:f>'规格明细'!L144</x:f>
        <x:v>0.912384</x:v>
      </x:c>
      <x:c r="D896" s="230" t="n">
        <x:f>'规格明细'!K144*'规格明细'!J144</x:f>
        <x:v>0.912384</x:v>
      </x:c>
      <x:c r="E896" s="230" t="n">
        <x:f>C896-D896</x:f>
        <x:v>0</x:v>
      </x:c>
      <x:c r="F896" s="177" t="str">
        <x:f>IF(ABS(E896)&lt;0.000001,"PASS","FAIL")</x:f>
        <x:v>PASS</x:v>
      </x:c>
      <x:c r="G896" s="177" t="str">
        <x:v>份额只乘一次</x:v>
      </x:c>
      <x:c r="H896" s="184"/>
    </x:row>
    <x:row r="897">
      <x:c r="A897" s="177" t="str">
        <x:v>DYN-SPEC-Q-145</x:v>
      </x:c>
      <x:c r="B897" s="177" t="str">
        <x:v>optimistic 2026 externalLaser 204.8T数量</x:v>
      </x:c>
      <x:c r="C897" s="230" t="n">
        <x:f>'规格明细'!G145</x:f>
        <x:v>0</x:v>
      </x:c>
      <x:c r="D897" s="230" t="n">
        <x:f>'规格明细'!D145*10000*'规格明细'!E145</x:f>
        <x:v>0</x:v>
      </x:c>
      <x:c r="E897" s="230" t="n">
        <x:f>C897-D897</x:f>
        <x:v>0</x:v>
      </x:c>
      <x:c r="F897" s="177" t="str">
        <x:f>IF(ABS(E897)&lt;0.000001,"PASS","FAIL")</x:f>
        <x:v>PASS</x:v>
      </x:c>
      <x:c r="G897" s="177" t="str">
        <x:v>出货量×单位用量</x:v>
      </x:c>
      <x:c r="H897" s="184"/>
    </x:row>
    <x:row r="898">
      <x:c r="A898" s="177" t="str">
        <x:v>DYN-SPEC-TAM-145</x:v>
      </x:c>
      <x:c r="B898" s="177" t="str">
        <x:v>optimistic 2026 externalLaser 204.8T空间</x:v>
      </x:c>
      <x:c r="C898" s="230" t="n">
        <x:f>'规格明细'!K145</x:f>
        <x:v>0</x:v>
      </x:c>
      <x:c r="D898" s="230" t="n">
        <x:f>'规格明细'!G145*'规格明细'!I145/100000000</x:f>
        <x:v>0</x:v>
      </x:c>
      <x:c r="E898" s="230" t="n">
        <x:f>C898-D898</x:f>
        <x:v>0</x:v>
      </x:c>
      <x:c r="F898" s="177" t="str">
        <x:f>IF(ABS(E898)&lt;0.000001,"PASS","FAIL")</x:f>
        <x:v>PASS</x:v>
      </x:c>
      <x:c r="G898" s="177" t="str">
        <x:v>组件数量×价格</x:v>
      </x:c>
      <x:c r="H898" s="184"/>
    </x:row>
    <x:row r="899">
      <x:c r="A899" s="177" t="str">
        <x:v>DYN-SPEC-REV-145</x:v>
      </x:c>
      <x:c r="B899" s="177" t="str">
        <x:v>optimistic 2026 externalLaser 204.8T理论收入</x:v>
      </x:c>
      <x:c r="C899" s="230" t="n">
        <x:f>'规格明细'!L145</x:f>
        <x:v>0</x:v>
      </x:c>
      <x:c r="D899" s="230" t="n">
        <x:f>'规格明细'!K145*'规格明细'!J145</x:f>
        <x:v>0</x:v>
      </x:c>
      <x:c r="E899" s="230" t="n">
        <x:f>C899-D899</x:f>
        <x:v>0</x:v>
      </x:c>
      <x:c r="F899" s="177" t="str">
        <x:f>IF(ABS(E899)&lt;0.000001,"PASS","FAIL")</x:f>
        <x:v>PASS</x:v>
      </x:c>
      <x:c r="G899" s="177" t="str">
        <x:v>份额只乘一次</x:v>
      </x:c>
      <x:c r="H899" s="184"/>
    </x:row>
    <x:row r="900">
      <x:c r="A900" s="177" t="str">
        <x:v>DYN-SPEC-Q-146</x:v>
      </x:c>
      <x:c r="B900" s="177" t="str">
        <x:v>optimistic 2026 equipment 102.4T数量</x:v>
      </x:c>
      <x:c r="C900" s="230" t="n">
        <x:f>'规格明细'!G146</x:f>
        <x:v>640</x:v>
      </x:c>
      <x:c r="D900" s="230" t="n">
        <x:f>'规格明细'!D146*10000*'规格明细'!E146</x:f>
        <x:v>640</x:v>
      </x:c>
      <x:c r="E900" s="230" t="n">
        <x:f>C900-D900</x:f>
        <x:v>0</x:v>
      </x:c>
      <x:c r="F900" s="177" t="str">
        <x:f>IF(ABS(E900)&lt;0.000001,"PASS","FAIL")</x:f>
        <x:v>PASS</x:v>
      </x:c>
      <x:c r="G900" s="177" t="str">
        <x:v>出货量×单位用量</x:v>
      </x:c>
      <x:c r="H900" s="184"/>
    </x:row>
    <x:row r="901">
      <x:c r="A901" s="177" t="str">
        <x:v>DYN-SPEC-TAM-146</x:v>
      </x:c>
      <x:c r="B901" s="177" t="str">
        <x:v>optimistic 2026 equipment 102.4T空间</x:v>
      </x:c>
      <x:c r="C901" s="230" t="n">
        <x:f>'规格明细'!K146</x:f>
        <x:v>0.45056</x:v>
      </x:c>
      <x:c r="D901" s="230" t="n">
        <x:f>'规格明细'!G146*'规格明细'!I146/100000000</x:f>
        <x:v>0.45056</x:v>
      </x:c>
      <x:c r="E901" s="230" t="n">
        <x:f>C901-D901</x:f>
        <x:v>0</x:v>
      </x:c>
      <x:c r="F901" s="177" t="str">
        <x:f>IF(ABS(E901)&lt;0.000001,"PASS","FAIL")</x:f>
        <x:v>PASS</x:v>
      </x:c>
      <x:c r="G901" s="177" t="str">
        <x:v>组件数量×价格</x:v>
      </x:c>
      <x:c r="H901" s="184"/>
    </x:row>
    <x:row r="902">
      <x:c r="A902" s="177" t="str">
        <x:v>DYN-SPEC-REV-146</x:v>
      </x:c>
      <x:c r="B902" s="177" t="str">
        <x:v>optimistic 2026 equipment 102.4T理论收入</x:v>
      </x:c>
      <x:c r="C902" s="230" t="n">
        <x:f>'规格明细'!L146</x:f>
        <x:v>0.050688000000000004</x:v>
      </x:c>
      <x:c r="D902" s="230" t="n">
        <x:f>'规格明细'!K146*'规格明细'!J146</x:f>
        <x:v>0.050688000000000004</x:v>
      </x:c>
      <x:c r="E902" s="230" t="n">
        <x:f>C902-D902</x:f>
        <x:v>0</x:v>
      </x:c>
      <x:c r="F902" s="177" t="str">
        <x:f>IF(ABS(E902)&lt;0.000001,"PASS","FAIL")</x:f>
        <x:v>PASS</x:v>
      </x:c>
      <x:c r="G902" s="177" t="str">
        <x:v>份额只乘一次</x:v>
      </x:c>
      <x:c r="H902" s="184"/>
    </x:row>
    <x:row r="903">
      <x:c r="A903" s="177" t="str">
        <x:v>DYN-SPEC-Q-147</x:v>
      </x:c>
      <x:c r="B903" s="177" t="str">
        <x:v>optimistic 2026 equipment 204.8T数量</x:v>
      </x:c>
      <x:c r="C903" s="230" t="n">
        <x:f>'规格明细'!G147</x:f>
        <x:v>0</x:v>
      </x:c>
      <x:c r="D903" s="230" t="n">
        <x:f>'规格明细'!D147*10000*'规格明细'!E147</x:f>
        <x:v>0</x:v>
      </x:c>
      <x:c r="E903" s="230" t="n">
        <x:f>C903-D903</x:f>
        <x:v>0</x:v>
      </x:c>
      <x:c r="F903" s="177" t="str">
        <x:f>IF(ABS(E903)&lt;0.000001,"PASS","FAIL")</x:f>
        <x:v>PASS</x:v>
      </x:c>
      <x:c r="G903" s="177" t="str">
        <x:v>出货量×单位用量</x:v>
      </x:c>
      <x:c r="H903" s="184"/>
    </x:row>
    <x:row r="904">
      <x:c r="A904" s="177" t="str">
        <x:v>DYN-SPEC-TAM-147</x:v>
      </x:c>
      <x:c r="B904" s="177" t="str">
        <x:v>optimistic 2026 equipment 204.8T空间</x:v>
      </x:c>
      <x:c r="C904" s="230" t="n">
        <x:f>'规格明细'!K147</x:f>
        <x:v>0</x:v>
      </x:c>
      <x:c r="D904" s="230" t="n">
        <x:f>'规格明细'!G147*'规格明细'!I147/100000000</x:f>
        <x:v>0</x:v>
      </x:c>
      <x:c r="E904" s="230" t="n">
        <x:f>C904-D904</x:f>
        <x:v>0</x:v>
      </x:c>
      <x:c r="F904" s="177" t="str">
        <x:f>IF(ABS(E904)&lt;0.000001,"PASS","FAIL")</x:f>
        <x:v>PASS</x:v>
      </x:c>
      <x:c r="G904" s="177" t="str">
        <x:v>组件数量×价格</x:v>
      </x:c>
      <x:c r="H904" s="184"/>
    </x:row>
    <x:row r="905">
      <x:c r="A905" s="177" t="str">
        <x:v>DYN-SPEC-REV-147</x:v>
      </x:c>
      <x:c r="B905" s="177" t="str">
        <x:v>optimistic 2026 equipment 204.8T理论收入</x:v>
      </x:c>
      <x:c r="C905" s="230" t="n">
        <x:f>'规格明细'!L147</x:f>
        <x:v>0</x:v>
      </x:c>
      <x:c r="D905" s="230" t="n">
        <x:f>'规格明细'!K147*'规格明细'!J147</x:f>
        <x:v>0</x:v>
      </x:c>
      <x:c r="E905" s="230" t="n">
        <x:f>C905-D905</x:f>
        <x:v>0</x:v>
      </x:c>
      <x:c r="F905" s="177" t="str">
        <x:f>IF(ABS(E905)&lt;0.000001,"PASS","FAIL")</x:f>
        <x:v>PASS</x:v>
      </x:c>
      <x:c r="G905" s="177" t="str">
        <x:v>份额只乘一次</x:v>
      </x:c>
      <x:c r="H905" s="184"/>
    </x:row>
    <x:row r="906">
      <x:c r="A906" s="177" t="str">
        <x:v>DYN-SPEC-Q-148</x:v>
      </x:c>
      <x:c r="B906" s="177" t="str">
        <x:v>optimistic 2027 pluggable-800g 800G数量</x:v>
      </x:c>
      <x:c r="C906" s="230" t="n">
        <x:f>'规格明细'!G148</x:f>
        <x:v>725000000</x:v>
      </x:c>
      <x:c r="D906" s="230" t="n">
        <x:f>'规格明细'!D148*10000*'规格明细'!E148</x:f>
        <x:v>725000000</x:v>
      </x:c>
      <x:c r="E906" s="230" t="n">
        <x:f>C906-D906</x:f>
        <x:v>0</x:v>
      </x:c>
      <x:c r="F906" s="177" t="str">
        <x:f>IF(ABS(E906)&lt;0.000001,"PASS","FAIL")</x:f>
        <x:v>PASS</x:v>
      </x:c>
      <x:c r="G906" s="177" t="str">
        <x:v>出货量×单位用量</x:v>
      </x:c>
      <x:c r="H906" s="184"/>
    </x:row>
    <x:row r="907">
      <x:c r="A907" s="177" t="str">
        <x:v>DYN-SPEC-TAM-148</x:v>
      </x:c>
      <x:c r="B907" s="177" t="str">
        <x:v>optimistic 2027 pluggable-800g 800G空间</x:v>
      </x:c>
      <x:c r="C907" s="230" t="n">
        <x:f>'规格明细'!K148</x:f>
        <x:v>28.710000000000004</x:v>
      </x:c>
      <x:c r="D907" s="230" t="n">
        <x:f>'规格明细'!G148*'规格明细'!I148/100000000</x:f>
        <x:v>28.710000000000004</x:v>
      </x:c>
      <x:c r="E907" s="230" t="n">
        <x:f>C907-D907</x:f>
        <x:v>0</x:v>
      </x:c>
      <x:c r="F907" s="177" t="str">
        <x:f>IF(ABS(E907)&lt;0.000001,"PASS","FAIL")</x:f>
        <x:v>PASS</x:v>
      </x:c>
      <x:c r="G907" s="177" t="str">
        <x:v>组件数量×价格</x:v>
      </x:c>
      <x:c r="H907" s="184"/>
    </x:row>
    <x:row r="908">
      <x:c r="A908" s="177" t="str">
        <x:v>DYN-SPEC-REV-148</x:v>
      </x:c>
      <x:c r="B908" s="177" t="str">
        <x:v>optimistic 2027 pluggable-800g 800G理论收入</x:v>
      </x:c>
      <x:c r="C908" s="230" t="n">
        <x:f>'规格明细'!L148</x:f>
        <x:v>2.8710000000000004</x:v>
      </x:c>
      <x:c r="D908" s="230" t="n">
        <x:f>'规格明细'!K148*'规格明细'!J148</x:f>
        <x:v>2.8710000000000004</x:v>
      </x:c>
      <x:c r="E908" s="230" t="n">
        <x:f>C908-D908</x:f>
        <x:v>0</x:v>
      </x:c>
      <x:c r="F908" s="177" t="str">
        <x:f>IF(ABS(E908)&lt;0.000001,"PASS","FAIL")</x:f>
        <x:v>PASS</x:v>
      </x:c>
      <x:c r="G908" s="177" t="str">
        <x:v>份额只乘一次</x:v>
      </x:c>
      <x:c r="H908" s="184"/>
    </x:row>
    <x:row r="909">
      <x:c r="A909" s="177" t="str">
        <x:v>DYN-SPEC-Q-149</x:v>
      </x:c>
      <x:c r="B909" s="177" t="str">
        <x:v>optimistic 2027 pluggable-1p6t 1.6T数量</x:v>
      </x:c>
      <x:c r="C909" s="230" t="n">
        <x:f>'规格明细'!G149</x:f>
        <x:v>640000000</x:v>
      </x:c>
      <x:c r="D909" s="230" t="n">
        <x:f>'规格明细'!D149*10000*'规格明细'!E149</x:f>
        <x:v>640000000</x:v>
      </x:c>
      <x:c r="E909" s="230" t="n">
        <x:f>C909-D909</x:f>
        <x:v>0</x:v>
      </x:c>
      <x:c r="F909" s="177" t="str">
        <x:f>IF(ABS(E909)&lt;0.000001,"PASS","FAIL")</x:f>
        <x:v>PASS</x:v>
      </x:c>
      <x:c r="G909" s="177" t="str">
        <x:v>出货量×单位用量</x:v>
      </x:c>
      <x:c r="H909" s="184"/>
    </x:row>
    <x:row r="910">
      <x:c r="A910" s="177" t="str">
        <x:v>DYN-SPEC-TAM-149</x:v>
      </x:c>
      <x:c r="B910" s="177" t="str">
        <x:v>optimistic 2027 pluggable-1p6t 1.6T空间</x:v>
      </x:c>
      <x:c r="C910" s="230" t="n">
        <x:f>'规格明细'!K149</x:f>
        <x:v>35.48160000000001</x:v>
      </x:c>
      <x:c r="D910" s="230" t="n">
        <x:f>'规格明细'!G149*'规格明细'!I149/100000000</x:f>
        <x:v>35.48160000000001</x:v>
      </x:c>
      <x:c r="E910" s="230" t="n">
        <x:f>C910-D910</x:f>
        <x:v>0</x:v>
      </x:c>
      <x:c r="F910" s="177" t="str">
        <x:f>IF(ABS(E910)&lt;0.000001,"PASS","FAIL")</x:f>
        <x:v>PASS</x:v>
      </x:c>
      <x:c r="G910" s="177" t="str">
        <x:v>组件数量×价格</x:v>
      </x:c>
      <x:c r="H910" s="184"/>
    </x:row>
    <x:row r="911">
      <x:c r="A911" s="177" t="str">
        <x:v>DYN-SPEC-REV-149</x:v>
      </x:c>
      <x:c r="B911" s="177" t="str">
        <x:v>optimistic 2027 pluggable-1p6t 1.6T理论收入</x:v>
      </x:c>
      <x:c r="C911" s="230" t="n">
        <x:f>'规格明细'!L149</x:f>
        <x:v>3.548160000000001</x:v>
      </x:c>
      <x:c r="D911" s="230" t="n">
        <x:f>'规格明细'!K149*'规格明细'!J149</x:f>
        <x:v>3.548160000000001</x:v>
      </x:c>
      <x:c r="E911" s="230" t="n">
        <x:f>C911-D911</x:f>
        <x:v>0</x:v>
      </x:c>
      <x:c r="F911" s="177" t="str">
        <x:f>IF(ABS(E911)&lt;0.000001,"PASS","FAIL")</x:f>
        <x:v>PASS</x:v>
      </x:c>
      <x:c r="G911" s="177" t="str">
        <x:v>份额只乘一次</x:v>
      </x:c>
      <x:c r="H911" s="184"/>
    </x:row>
    <x:row r="912">
      <x:c r="A912" s="177" t="str">
        <x:v>DYN-SPEC-Q-150</x:v>
      </x:c>
      <x:c r="B912" s="177" t="str">
        <x:v>optimistic 2027 ocs 小端口参考系统数量</x:v>
      </x:c>
      <x:c r="C912" s="230" t="n">
        <x:f>'规格明细'!G150</x:f>
        <x:v>15360000</x:v>
      </x:c>
      <x:c r="D912" s="230" t="n">
        <x:f>'规格明细'!D150*10000*'规格明细'!E150</x:f>
        <x:v>15360000</x:v>
      </x:c>
      <x:c r="E912" s="230" t="n">
        <x:f>C912-D912</x:f>
        <x:v>0</x:v>
      </x:c>
      <x:c r="F912" s="177" t="str">
        <x:f>IF(ABS(E912)&lt;0.000001,"PASS","FAIL")</x:f>
        <x:v>PASS</x:v>
      </x:c>
      <x:c r="G912" s="177" t="str">
        <x:v>出货量×单位用量</x:v>
      </x:c>
      <x:c r="H912" s="184"/>
    </x:row>
    <x:row r="913">
      <x:c r="A913" s="177" t="str">
        <x:v>DYN-SPEC-TAM-150</x:v>
      </x:c>
      <x:c r="B913" s="177" t="str">
        <x:v>optimistic 2027 ocs 小端口参考系统空间</x:v>
      </x:c>
      <x:c r="C913" s="230" t="n">
        <x:f>'规格明细'!K150</x:f>
        <x:v>3.072</x:v>
      </x:c>
      <x:c r="D913" s="230" t="n">
        <x:f>'规格明细'!G150*'规格明细'!I150/100000000</x:f>
        <x:v>3.072</x:v>
      </x:c>
      <x:c r="E913" s="230" t="n">
        <x:f>C913-D913</x:f>
        <x:v>0</x:v>
      </x:c>
      <x:c r="F913" s="177" t="str">
        <x:f>IF(ABS(E913)&lt;0.000001,"PASS","FAIL")</x:f>
        <x:v>PASS</x:v>
      </x:c>
      <x:c r="G913" s="177" t="str">
        <x:v>组件数量×价格</x:v>
      </x:c>
      <x:c r="H913" s="184"/>
    </x:row>
    <x:row r="914">
      <x:c r="A914" s="177" t="str">
        <x:v>DYN-SPEC-REV-150</x:v>
      </x:c>
      <x:c r="B914" s="177" t="str">
        <x:v>optimistic 2027 ocs 小端口参考系统理论收入</x:v>
      </x:c>
      <x:c r="C914" s="230" t="n">
        <x:f>'规格明细'!L150</x:f>
        <x:v>3.072</x:v>
      </x:c>
      <x:c r="D914" s="230" t="n">
        <x:f>'规格明细'!K150*'规格明细'!J150</x:f>
        <x:v>3.072</x:v>
      </x:c>
      <x:c r="E914" s="230" t="n">
        <x:f>C914-D914</x:f>
        <x:v>0</x:v>
      </x:c>
      <x:c r="F914" s="177" t="str">
        <x:f>IF(ABS(E914)&lt;0.000001,"PASS","FAIL")</x:f>
        <x:v>PASS</x:v>
      </x:c>
      <x:c r="G914" s="177" t="str">
        <x:v>份额只乘一次</x:v>
      </x:c>
      <x:c r="H914" s="184"/>
    </x:row>
    <x:row r="915">
      <x:c r="A915" s="177" t="str">
        <x:v>DYN-SPEC-Q-151</x:v>
      </x:c>
      <x:c r="B915" s="177" t="str">
        <x:v>optimistic 2027 ocs 大端口320×320数量</x:v>
      </x:c>
      <x:c r="C915" s="230" t="n">
        <x:f>'规格明细'!G151</x:f>
        <x:v>25600000</x:v>
      </x:c>
      <x:c r="D915" s="230" t="n">
        <x:f>'规格明细'!D151*10000*'规格明细'!E151</x:f>
        <x:v>25600000</x:v>
      </x:c>
      <x:c r="E915" s="230" t="n">
        <x:f>C915-D915</x:f>
        <x:v>0</x:v>
      </x:c>
      <x:c r="F915" s="177" t="str">
        <x:f>IF(ABS(E915)&lt;0.000001,"PASS","FAIL")</x:f>
        <x:v>PASS</x:v>
      </x:c>
      <x:c r="G915" s="177" t="str">
        <x:v>出货量×单位用量</x:v>
      </x:c>
      <x:c r="H915" s="184"/>
    </x:row>
    <x:row r="916">
      <x:c r="A916" s="177" t="str">
        <x:v>DYN-SPEC-TAM-151</x:v>
      </x:c>
      <x:c r="B916" s="177" t="str">
        <x:v>optimistic 2027 ocs 大端口320×320空间</x:v>
      </x:c>
      <x:c r="C916" s="230" t="n">
        <x:f>'规格明细'!K151</x:f>
        <x:v>10.24</x:v>
      </x:c>
      <x:c r="D916" s="230" t="n">
        <x:f>'规格明细'!G151*'规格明细'!I151/100000000</x:f>
        <x:v>10.24</x:v>
      </x:c>
      <x:c r="E916" s="230" t="n">
        <x:f>C916-D916</x:f>
        <x:v>0</x:v>
      </x:c>
      <x:c r="F916" s="177" t="str">
        <x:f>IF(ABS(E916)&lt;0.000001,"PASS","FAIL")</x:f>
        <x:v>PASS</x:v>
      </x:c>
      <x:c r="G916" s="177" t="str">
        <x:v>组件数量×价格</x:v>
      </x:c>
      <x:c r="H916" s="184"/>
    </x:row>
    <x:row r="917">
      <x:c r="A917" s="177" t="str">
        <x:v>DYN-SPEC-REV-151</x:v>
      </x:c>
      <x:c r="B917" s="177" t="str">
        <x:v>optimistic 2027 ocs 大端口320×320理论收入</x:v>
      </x:c>
      <x:c r="C917" s="230" t="n">
        <x:f>'规格明细'!L151</x:f>
        <x:v>10.24</x:v>
      </x:c>
      <x:c r="D917" s="230" t="n">
        <x:f>'规格明细'!K151*'规格明细'!J151</x:f>
        <x:v>10.24</x:v>
      </x:c>
      <x:c r="E917" s="230" t="n">
        <x:f>C917-D917</x:f>
        <x:v>0</x:v>
      </x:c>
      <x:c r="F917" s="177" t="str">
        <x:f>IF(ABS(E917)&lt;0.000001,"PASS","FAIL")</x:f>
        <x:v>PASS</x:v>
      </x:c>
      <x:c r="G917" s="177" t="str">
        <x:v>份额只乘一次</x:v>
      </x:c>
      <x:c r="H917" s="184"/>
    </x:row>
    <x:row r="918">
      <x:c r="A918" s="177" t="str">
        <x:v>DYN-SPEC-Q-152</x:v>
      </x:c>
      <x:c r="B918" s="177" t="str">
        <x:v>optimistic 2027 vGroove 102.4T数量</x:v>
      </x:c>
      <x:c r="C918" s="230" t="n">
        <x:f>'规格明细'!G152</x:f>
        <x:v>230400000</x:v>
      </x:c>
      <x:c r="D918" s="230" t="n">
        <x:f>'规格明细'!D152*10000*'规格明细'!E152</x:f>
        <x:v>230400000</x:v>
      </x:c>
      <x:c r="E918" s="230" t="n">
        <x:f>C918-D918</x:f>
        <x:v>0</x:v>
      </x:c>
      <x:c r="F918" s="177" t="str">
        <x:f>IF(ABS(E918)&lt;0.000001,"PASS","FAIL")</x:f>
        <x:v>PASS</x:v>
      </x:c>
      <x:c r="G918" s="177" t="str">
        <x:v>出货量×单位用量</x:v>
      </x:c>
      <x:c r="H918" s="184"/>
    </x:row>
    <x:row r="919">
      <x:c r="A919" s="177" t="str">
        <x:v>DYN-SPEC-TAM-152</x:v>
      </x:c>
      <x:c r="B919" s="177" t="str">
        <x:v>optimistic 2027 vGroove 102.4T空间</x:v>
      </x:c>
      <x:c r="C919" s="230" t="n">
        <x:f>'规格明细'!K152</x:f>
        <x:v>18.166579200000005</x:v>
      </x:c>
      <x:c r="D919" s="230" t="n">
        <x:f>'规格明细'!G152*'规格明细'!I152/100000000</x:f>
        <x:v>18.166579200000005</x:v>
      </x:c>
      <x:c r="E919" s="230" t="n">
        <x:f>C919-D919</x:f>
        <x:v>0</x:v>
      </x:c>
      <x:c r="F919" s="177" t="str">
        <x:f>IF(ABS(E919)&lt;0.000001,"PASS","FAIL")</x:f>
        <x:v>PASS</x:v>
      </x:c>
      <x:c r="G919" s="177" t="str">
        <x:v>组件数量×价格</x:v>
      </x:c>
      <x:c r="H919" s="184"/>
    </x:row>
    <x:row r="920">
      <x:c r="A920" s="177" t="str">
        <x:v>DYN-SPEC-REV-152</x:v>
      </x:c>
      <x:c r="B920" s="177" t="str">
        <x:v>optimistic 2027 vGroove 102.4T理论收入</x:v>
      </x:c>
      <x:c r="C920" s="230" t="n">
        <x:f>'规格明细'!L152</x:f>
        <x:v>10.092544000000004</x:v>
      </x:c>
      <x:c r="D920" s="230" t="n">
        <x:f>'规格明细'!K152*'规格明细'!J152</x:f>
        <x:v>10.092544000000004</x:v>
      </x:c>
      <x:c r="E920" s="230" t="n">
        <x:f>C920-D920</x:f>
        <x:v>0</x:v>
      </x:c>
      <x:c r="F920" s="177" t="str">
        <x:f>IF(ABS(E920)&lt;0.000001,"PASS","FAIL")</x:f>
        <x:v>PASS</x:v>
      </x:c>
      <x:c r="G920" s="177" t="str">
        <x:v>份额只乘一次</x:v>
      </x:c>
      <x:c r="H920" s="184"/>
    </x:row>
    <x:row r="921">
      <x:c r="A921" s="177" t="str">
        <x:v>DYN-SPEC-Q-153</x:v>
      </x:c>
      <x:c r="B921" s="177" t="str">
        <x:v>optimistic 2027 vGroove 204.8T数量</x:v>
      </x:c>
      <x:c r="C921" s="230" t="n">
        <x:f>'规格明细'!G153</x:f>
        <x:v>0</x:v>
      </x:c>
      <x:c r="D921" s="230" t="n">
        <x:f>'规格明细'!D153*10000*'规格明细'!E153</x:f>
        <x:v>0</x:v>
      </x:c>
      <x:c r="E921" s="230" t="n">
        <x:f>C921-D921</x:f>
        <x:v>0</x:v>
      </x:c>
      <x:c r="F921" s="177" t="str">
        <x:f>IF(ABS(E921)&lt;0.000001,"PASS","FAIL")</x:f>
        <x:v>PASS</x:v>
      </x:c>
      <x:c r="G921" s="177" t="str">
        <x:v>出货量×单位用量</x:v>
      </x:c>
      <x:c r="H921" s="184"/>
    </x:row>
    <x:row r="922">
      <x:c r="A922" s="177" t="str">
        <x:v>DYN-SPEC-TAM-153</x:v>
      </x:c>
      <x:c r="B922" s="177" t="str">
        <x:v>optimistic 2027 vGroove 204.8T空间</x:v>
      </x:c>
      <x:c r="C922" s="230" t="n">
        <x:f>'规格明细'!K153</x:f>
        <x:v>0</x:v>
      </x:c>
      <x:c r="D922" s="230" t="n">
        <x:f>'规格明细'!G153*'规格明细'!I153/100000000</x:f>
        <x:v>0</x:v>
      </x:c>
      <x:c r="E922" s="230" t="n">
        <x:f>C922-D922</x:f>
        <x:v>0</x:v>
      </x:c>
      <x:c r="F922" s="177" t="str">
        <x:f>IF(ABS(E922)&lt;0.000001,"PASS","FAIL")</x:f>
        <x:v>PASS</x:v>
      </x:c>
      <x:c r="G922" s="177" t="str">
        <x:v>组件数量×价格</x:v>
      </x:c>
      <x:c r="H922" s="184"/>
    </x:row>
    <x:row r="923">
      <x:c r="A923" s="177" t="str">
        <x:v>DYN-SPEC-REV-153</x:v>
      </x:c>
      <x:c r="B923" s="177" t="str">
        <x:v>optimistic 2027 vGroove 204.8T理论收入</x:v>
      </x:c>
      <x:c r="C923" s="230" t="n">
        <x:f>'规格明细'!L153</x:f>
        <x:v>0</x:v>
      </x:c>
      <x:c r="D923" s="230" t="n">
        <x:f>'规格明细'!K153*'规格明细'!J153</x:f>
        <x:v>0</x:v>
      </x:c>
      <x:c r="E923" s="230" t="n">
        <x:f>C923-D923</x:f>
        <x:v>0</x:v>
      </x:c>
      <x:c r="F923" s="177" t="str">
        <x:f>IF(ABS(E923)&lt;0.000001,"PASS","FAIL")</x:f>
        <x:v>PASS</x:v>
      </x:c>
      <x:c r="G923" s="177" t="str">
        <x:v>份额只乘一次</x:v>
      </x:c>
      <x:c r="H923" s="184"/>
    </x:row>
    <x:row r="924">
      <x:c r="A924" s="177" t="str">
        <x:v>DYN-SPEC-Q-154</x:v>
      </x:c>
      <x:c r="B924" s="177" t="str">
        <x:v>optimistic 2027 fauPrism 102.4T数量</x:v>
      </x:c>
      <x:c r="C924" s="230" t="n">
        <x:f>'规格明细'!G154</x:f>
        <x:v>230400000</x:v>
      </x:c>
      <x:c r="D924" s="230" t="n">
        <x:f>'规格明细'!D154*10000*'规格明细'!E154</x:f>
        <x:v>230400000</x:v>
      </x:c>
      <x:c r="E924" s="230" t="n">
        <x:f>C924-D924</x:f>
        <x:v>0</x:v>
      </x:c>
      <x:c r="F924" s="177" t="str">
        <x:f>IF(ABS(E924)&lt;0.000001,"PASS","FAIL")</x:f>
        <x:v>PASS</x:v>
      </x:c>
      <x:c r="G924" s="177" t="str">
        <x:v>出货量×单位用量</x:v>
      </x:c>
      <x:c r="H924" s="184"/>
    </x:row>
    <x:row r="925">
      <x:c r="A925" s="177" t="str">
        <x:v>DYN-SPEC-TAM-154</x:v>
      </x:c>
      <x:c r="B925" s="177" t="str">
        <x:v>optimistic 2027 fauPrism 102.4T空间</x:v>
      </x:c>
      <x:c r="C925" s="230" t="n">
        <x:f>'规格明细'!K154</x:f>
        <x:v>25.952256000000006</x:v>
      </x:c>
      <x:c r="D925" s="230" t="n">
        <x:f>'规格明细'!G154*'规格明细'!I154/100000000</x:f>
        <x:v>25.952256000000006</x:v>
      </x:c>
      <x:c r="E925" s="230" t="n">
        <x:f>C925-D925</x:f>
        <x:v>0</x:v>
      </x:c>
      <x:c r="F925" s="177" t="str">
        <x:f>IF(ABS(E925)&lt;0.000001,"PASS","FAIL")</x:f>
        <x:v>PASS</x:v>
      </x:c>
      <x:c r="G925" s="177" t="str">
        <x:v>组件数量×价格</x:v>
      </x:c>
      <x:c r="H925" s="184"/>
    </x:row>
    <x:row r="926">
      <x:c r="A926" s="177" t="str">
        <x:v>DYN-SPEC-REV-154</x:v>
      </x:c>
      <x:c r="B926" s="177" t="str">
        <x:v>optimistic 2027 fauPrism 102.4T理论收入</x:v>
      </x:c>
      <x:c r="C926" s="230" t="n">
        <x:f>'规格明细'!L154</x:f>
        <x:v>11.678515200000003</x:v>
      </x:c>
      <x:c r="D926" s="230" t="n">
        <x:f>'规格明细'!K154*'规格明细'!J154</x:f>
        <x:v>11.678515200000003</x:v>
      </x:c>
      <x:c r="E926" s="230" t="n">
        <x:f>C926-D926</x:f>
        <x:v>0</x:v>
      </x:c>
      <x:c r="F926" s="177" t="str">
        <x:f>IF(ABS(E926)&lt;0.000001,"PASS","FAIL")</x:f>
        <x:v>PASS</x:v>
      </x:c>
      <x:c r="G926" s="177" t="str">
        <x:v>份额只乘一次</x:v>
      </x:c>
      <x:c r="H926" s="184"/>
    </x:row>
    <x:row r="927">
      <x:c r="A927" s="177" t="str">
        <x:v>DYN-SPEC-Q-155</x:v>
      </x:c>
      <x:c r="B927" s="177" t="str">
        <x:v>optimistic 2027 fauPrism 204.8T数量</x:v>
      </x:c>
      <x:c r="C927" s="230" t="n">
        <x:f>'规格明细'!G155</x:f>
        <x:v>0</x:v>
      </x:c>
      <x:c r="D927" s="230" t="n">
        <x:f>'规格明细'!D155*10000*'规格明细'!E155</x:f>
        <x:v>0</x:v>
      </x:c>
      <x:c r="E927" s="230" t="n">
        <x:f>C927-D927</x:f>
        <x:v>0</x:v>
      </x:c>
      <x:c r="F927" s="177" t="str">
        <x:f>IF(ABS(E927)&lt;0.000001,"PASS","FAIL")</x:f>
        <x:v>PASS</x:v>
      </x:c>
      <x:c r="G927" s="177" t="str">
        <x:v>出货量×单位用量</x:v>
      </x:c>
      <x:c r="H927" s="184"/>
    </x:row>
    <x:row r="928">
      <x:c r="A928" s="177" t="str">
        <x:v>DYN-SPEC-TAM-155</x:v>
      </x:c>
      <x:c r="B928" s="177" t="str">
        <x:v>optimistic 2027 fauPrism 204.8T空间</x:v>
      </x:c>
      <x:c r="C928" s="230" t="n">
        <x:f>'规格明细'!K155</x:f>
        <x:v>0</x:v>
      </x:c>
      <x:c r="D928" s="230" t="n">
        <x:f>'规格明细'!G155*'规格明细'!I155/100000000</x:f>
        <x:v>0</x:v>
      </x:c>
      <x:c r="E928" s="230" t="n">
        <x:f>C928-D928</x:f>
        <x:v>0</x:v>
      </x:c>
      <x:c r="F928" s="177" t="str">
        <x:f>IF(ABS(E928)&lt;0.000001,"PASS","FAIL")</x:f>
        <x:v>PASS</x:v>
      </x:c>
      <x:c r="G928" s="177" t="str">
        <x:v>组件数量×价格</x:v>
      </x:c>
      <x:c r="H928" s="184"/>
    </x:row>
    <x:row r="929">
      <x:c r="A929" s="177" t="str">
        <x:v>DYN-SPEC-REV-155</x:v>
      </x:c>
      <x:c r="B929" s="177" t="str">
        <x:v>optimistic 2027 fauPrism 204.8T理论收入</x:v>
      </x:c>
      <x:c r="C929" s="230" t="n">
        <x:f>'规格明细'!L155</x:f>
        <x:v>0</x:v>
      </x:c>
      <x:c r="D929" s="230" t="n">
        <x:f>'规格明细'!K155*'规格明细'!J155</x:f>
        <x:v>0</x:v>
      </x:c>
      <x:c r="E929" s="230" t="n">
        <x:f>C929-D929</x:f>
        <x:v>0</x:v>
      </x:c>
      <x:c r="F929" s="177" t="str">
        <x:f>IF(ABS(E929)&lt;0.000001,"PASS","FAIL")</x:f>
        <x:v>PASS</x:v>
      </x:c>
      <x:c r="G929" s="177" t="str">
        <x:v>份额只乘一次</x:v>
      </x:c>
      <x:c r="H929" s="184"/>
    </x:row>
    <x:row r="930">
      <x:c r="A930" s="177" t="str">
        <x:v>DYN-SPEC-Q-156</x:v>
      </x:c>
      <x:c r="B930" s="177" t="str">
        <x:v>optimistic 2027 externalLaser 102.4T数量</x:v>
      </x:c>
      <x:c r="C930" s="230" t="n">
        <x:f>'规格明细'!G156</x:f>
        <x:v>25600000</x:v>
      </x:c>
      <x:c r="D930" s="230" t="n">
        <x:f>'规格明细'!D156*10000*'规格明细'!E156</x:f>
        <x:v>25600000</x:v>
      </x:c>
      <x:c r="E930" s="230" t="n">
        <x:f>C930-D930</x:f>
        <x:v>0</x:v>
      </x:c>
      <x:c r="F930" s="177" t="str">
        <x:f>IF(ABS(E930)&lt;0.000001,"PASS","FAIL")</x:f>
        <x:v>PASS</x:v>
      </x:c>
      <x:c r="G930" s="177" t="str">
        <x:v>出货量×单位用量</x:v>
      </x:c>
      <x:c r="H930" s="184"/>
    </x:row>
    <x:row r="931">
      <x:c r="A931" s="177" t="str">
        <x:v>DYN-SPEC-TAM-156</x:v>
      </x:c>
      <x:c r="B931" s="177" t="str">
        <x:v>optimistic 2027 externalLaser 102.4T空间</x:v>
      </x:c>
      <x:c r="C931" s="230" t="n">
        <x:f>'规格明细'!K156</x:f>
        <x:v>14.417920000000002</x:v>
      </x:c>
      <x:c r="D931" s="230" t="n">
        <x:f>'规格明细'!G156*'规格明细'!I156/100000000</x:f>
        <x:v>14.417920000000002</x:v>
      </x:c>
      <x:c r="E931" s="230" t="n">
        <x:f>C931-D931</x:f>
        <x:v>0</x:v>
      </x:c>
      <x:c r="F931" s="177" t="str">
        <x:f>IF(ABS(E931)&lt;0.000001,"PASS","FAIL")</x:f>
        <x:v>PASS</x:v>
      </x:c>
      <x:c r="G931" s="177" t="str">
        <x:v>组件数量×价格</x:v>
      </x:c>
      <x:c r="H931" s="184"/>
    </x:row>
    <x:row r="932">
      <x:c r="A932" s="177" t="str">
        <x:v>DYN-SPEC-REV-156</x:v>
      </x:c>
      <x:c r="B932" s="177" t="str">
        <x:v>optimistic 2027 externalLaser 102.4T理论收入</x:v>
      </x:c>
      <x:c r="C932" s="230" t="n">
        <x:f>'规格明细'!L156</x:f>
        <x:v>7.208960000000001</x:v>
      </x:c>
      <x:c r="D932" s="230" t="n">
        <x:f>'规格明细'!K156*'规格明细'!J156</x:f>
        <x:v>7.208960000000001</x:v>
      </x:c>
      <x:c r="E932" s="230" t="n">
        <x:f>C932-D932</x:f>
        <x:v>0</x:v>
      </x:c>
      <x:c r="F932" s="177" t="str">
        <x:f>IF(ABS(E932)&lt;0.000001,"PASS","FAIL")</x:f>
        <x:v>PASS</x:v>
      </x:c>
      <x:c r="G932" s="177" t="str">
        <x:v>份额只乘一次</x:v>
      </x:c>
      <x:c r="H932" s="184"/>
    </x:row>
    <x:row r="933">
      <x:c r="A933" s="177" t="str">
        <x:v>DYN-SPEC-Q-157</x:v>
      </x:c>
      <x:c r="B933" s="177" t="str">
        <x:v>optimistic 2027 externalLaser 204.8T数量</x:v>
      </x:c>
      <x:c r="C933" s="230" t="n">
        <x:f>'规格明细'!G157</x:f>
        <x:v>0</x:v>
      </x:c>
      <x:c r="D933" s="230" t="n">
        <x:f>'规格明细'!D157*10000*'规格明细'!E157</x:f>
        <x:v>0</x:v>
      </x:c>
      <x:c r="E933" s="230" t="n">
        <x:f>C933-D933</x:f>
        <x:v>0</x:v>
      </x:c>
      <x:c r="F933" s="177" t="str">
        <x:f>IF(ABS(E933)&lt;0.000001,"PASS","FAIL")</x:f>
        <x:v>PASS</x:v>
      </x:c>
      <x:c r="G933" s="177" t="str">
        <x:v>出货量×单位用量</x:v>
      </x:c>
      <x:c r="H933" s="184"/>
    </x:row>
    <x:row r="934">
      <x:c r="A934" s="177" t="str">
        <x:v>DYN-SPEC-TAM-157</x:v>
      </x:c>
      <x:c r="B934" s="177" t="str">
        <x:v>optimistic 2027 externalLaser 204.8T空间</x:v>
      </x:c>
      <x:c r="C934" s="230" t="n">
        <x:f>'规格明细'!K157</x:f>
        <x:v>0</x:v>
      </x:c>
      <x:c r="D934" s="230" t="n">
        <x:f>'规格明细'!G157*'规格明细'!I157/100000000</x:f>
        <x:v>0</x:v>
      </x:c>
      <x:c r="E934" s="230" t="n">
        <x:f>C934-D934</x:f>
        <x:v>0</x:v>
      </x:c>
      <x:c r="F934" s="177" t="str">
        <x:f>IF(ABS(E934)&lt;0.000001,"PASS","FAIL")</x:f>
        <x:v>PASS</x:v>
      </x:c>
      <x:c r="G934" s="177" t="str">
        <x:v>组件数量×价格</x:v>
      </x:c>
      <x:c r="H934" s="184"/>
    </x:row>
    <x:row r="935">
      <x:c r="A935" s="177" t="str">
        <x:v>DYN-SPEC-REV-157</x:v>
      </x:c>
      <x:c r="B935" s="177" t="str">
        <x:v>optimistic 2027 externalLaser 204.8T理论收入</x:v>
      </x:c>
      <x:c r="C935" s="230" t="n">
        <x:f>'规格明细'!L157</x:f>
        <x:v>0</x:v>
      </x:c>
      <x:c r="D935" s="230" t="n">
        <x:f>'规格明细'!K157*'规格明细'!J157</x:f>
        <x:v>0</x:v>
      </x:c>
      <x:c r="E935" s="230" t="n">
        <x:f>C935-D935</x:f>
        <x:v>0</x:v>
      </x:c>
      <x:c r="F935" s="177" t="str">
        <x:f>IF(ABS(E935)&lt;0.000001,"PASS","FAIL")</x:f>
        <x:v>PASS</x:v>
      </x:c>
      <x:c r="G935" s="177" t="str">
        <x:v>份额只乘一次</x:v>
      </x:c>
      <x:c r="H935" s="184"/>
    </x:row>
    <x:row r="936">
      <x:c r="A936" s="177" t="str">
        <x:v>DYN-SPEC-Q-158</x:v>
      </x:c>
      <x:c r="B936" s="177" t="str">
        <x:v>optimistic 2027 equipment 102.4T数量</x:v>
      </x:c>
      <x:c r="C936" s="230" t="n">
        <x:f>'规格明细'!G158</x:f>
        <x:v>6400</x:v>
      </x:c>
      <x:c r="D936" s="230" t="n">
        <x:f>'规格明细'!D158*10000*'规格明细'!E158</x:f>
        <x:v>6400</x:v>
      </x:c>
      <x:c r="E936" s="230" t="n">
        <x:f>C936-D936</x:f>
        <x:v>0</x:v>
      </x:c>
      <x:c r="F936" s="177" t="str">
        <x:f>IF(ABS(E936)&lt;0.000001,"PASS","FAIL")</x:f>
        <x:v>PASS</x:v>
      </x:c>
      <x:c r="G936" s="177" t="str">
        <x:v>出货量×单位用量</x:v>
      </x:c>
      <x:c r="H936" s="184"/>
    </x:row>
    <x:row r="937">
      <x:c r="A937" s="177" t="str">
        <x:v>DYN-SPEC-TAM-158</x:v>
      </x:c>
      <x:c r="B937" s="177" t="str">
        <x:v>optimistic 2027 equipment 102.4T空间</x:v>
      </x:c>
      <x:c r="C937" s="230" t="n">
        <x:f>'规格明细'!K158</x:f>
        <x:v>4.5056</x:v>
      </x:c>
      <x:c r="D937" s="230" t="n">
        <x:f>'规格明细'!G158*'规格明细'!I158/100000000</x:f>
        <x:v>4.5056</x:v>
      </x:c>
      <x:c r="E937" s="230" t="n">
        <x:f>C937-D937</x:f>
        <x:v>0</x:v>
      </x:c>
      <x:c r="F937" s="177" t="str">
        <x:f>IF(ABS(E937)&lt;0.000001,"PASS","FAIL")</x:f>
        <x:v>PASS</x:v>
      </x:c>
      <x:c r="G937" s="177" t="str">
        <x:v>组件数量×价格</x:v>
      </x:c>
      <x:c r="H937" s="184"/>
    </x:row>
    <x:row r="938">
      <x:c r="A938" s="177" t="str">
        <x:v>DYN-SPEC-REV-158</x:v>
      </x:c>
      <x:c r="B938" s="177" t="str">
        <x:v>optimistic 2027 equipment 102.4T理论收入</x:v>
      </x:c>
      <x:c r="C938" s="230" t="n">
        <x:f>'规格明细'!L158</x:f>
        <x:v>1.5018666666666667</x:v>
      </x:c>
      <x:c r="D938" s="230" t="n">
        <x:f>'规格明细'!K158*'规格明细'!J158</x:f>
        <x:v>1.5018666666666667</x:v>
      </x:c>
      <x:c r="E938" s="230" t="n">
        <x:f>C938-D938</x:f>
        <x:v>0</x:v>
      </x:c>
      <x:c r="F938" s="177" t="str">
        <x:f>IF(ABS(E938)&lt;0.000001,"PASS","FAIL")</x:f>
        <x:v>PASS</x:v>
      </x:c>
      <x:c r="G938" s="177" t="str">
        <x:v>份额只乘一次</x:v>
      </x:c>
      <x:c r="H938" s="184"/>
    </x:row>
    <x:row r="939">
      <x:c r="A939" s="177" t="str">
        <x:v>DYN-SPEC-Q-159</x:v>
      </x:c>
      <x:c r="B939" s="177" t="str">
        <x:v>optimistic 2027 equipment 204.8T数量</x:v>
      </x:c>
      <x:c r="C939" s="230" t="n">
        <x:f>'规格明细'!G159</x:f>
        <x:v>0</x:v>
      </x:c>
      <x:c r="D939" s="230" t="n">
        <x:f>'规格明细'!D159*10000*'规格明细'!E159</x:f>
        <x:v>0</x:v>
      </x:c>
      <x:c r="E939" s="230" t="n">
        <x:f>C939-D939</x:f>
        <x:v>0</x:v>
      </x:c>
      <x:c r="F939" s="177" t="str">
        <x:f>IF(ABS(E939)&lt;0.000001,"PASS","FAIL")</x:f>
        <x:v>PASS</x:v>
      </x:c>
      <x:c r="G939" s="177" t="str">
        <x:v>出货量×单位用量</x:v>
      </x:c>
      <x:c r="H939" s="184"/>
    </x:row>
    <x:row r="940">
      <x:c r="A940" s="177" t="str">
        <x:v>DYN-SPEC-TAM-159</x:v>
      </x:c>
      <x:c r="B940" s="177" t="str">
        <x:v>optimistic 2027 equipment 204.8T空间</x:v>
      </x:c>
      <x:c r="C940" s="230" t="n">
        <x:f>'规格明细'!K159</x:f>
        <x:v>0</x:v>
      </x:c>
      <x:c r="D940" s="230" t="n">
        <x:f>'规格明细'!G159*'规格明细'!I159/100000000</x:f>
        <x:v>0</x:v>
      </x:c>
      <x:c r="E940" s="230" t="n">
        <x:f>C940-D940</x:f>
        <x:v>0</x:v>
      </x:c>
      <x:c r="F940" s="177" t="str">
        <x:f>IF(ABS(E940)&lt;0.000001,"PASS","FAIL")</x:f>
        <x:v>PASS</x:v>
      </x:c>
      <x:c r="G940" s="177" t="str">
        <x:v>组件数量×价格</x:v>
      </x:c>
      <x:c r="H940" s="184"/>
    </x:row>
    <x:row r="941">
      <x:c r="A941" s="177" t="str">
        <x:v>DYN-SPEC-REV-159</x:v>
      </x:c>
      <x:c r="B941" s="177" t="str">
        <x:v>optimistic 2027 equipment 204.8T理论收入</x:v>
      </x:c>
      <x:c r="C941" s="230" t="n">
        <x:f>'规格明细'!L159</x:f>
        <x:v>0</x:v>
      </x:c>
      <x:c r="D941" s="230" t="n">
        <x:f>'规格明细'!K159*'规格明细'!J159</x:f>
        <x:v>0</x:v>
      </x:c>
      <x:c r="E941" s="230" t="n">
        <x:f>C941-D941</x:f>
        <x:v>0</x:v>
      </x:c>
      <x:c r="F941" s="177" t="str">
        <x:f>IF(ABS(E941)&lt;0.000001,"PASS","FAIL")</x:f>
        <x:v>PASS</x:v>
      </x:c>
      <x:c r="G941" s="177" t="str">
        <x:v>份额只乘一次</x:v>
      </x:c>
      <x:c r="H941" s="184"/>
    </x:row>
    <x:row r="942">
      <x:c r="A942" s="177" t="str">
        <x:v>DYN-SPEC-Q-160</x:v>
      </x:c>
      <x:c r="B942" s="177" t="str">
        <x:v>optimistic 2028 pluggable-800g 800G数量</x:v>
      </x:c>
      <x:c r="C942" s="230" t="n">
        <x:f>'规格明细'!G160</x:f>
        <x:v>500000000</x:v>
      </x:c>
      <x:c r="D942" s="230" t="n">
        <x:f>'规格明细'!D160*10000*'规格明细'!E160</x:f>
        <x:v>500000000</x:v>
      </x:c>
      <x:c r="E942" s="230" t="n">
        <x:f>C942-D942</x:f>
        <x:v>0</x:v>
      </x:c>
      <x:c r="F942" s="177" t="str">
        <x:f>IF(ABS(E942)&lt;0.000001,"PASS","FAIL")</x:f>
        <x:v>PASS</x:v>
      </x:c>
      <x:c r="G942" s="177" t="str">
        <x:v>出货量×单位用量</x:v>
      </x:c>
      <x:c r="H942" s="184"/>
    </x:row>
    <x:row r="943">
      <x:c r="A943" s="177" t="str">
        <x:v>DYN-SPEC-TAM-160</x:v>
      </x:c>
      <x:c r="B943" s="177" t="str">
        <x:v>optimistic 2028 pluggable-800g 800G空间</x:v>
      </x:c>
      <x:c r="C943" s="230" t="n">
        <x:f>'规格明细'!K160</x:f>
        <x:v>17.820000000000004</x:v>
      </x:c>
      <x:c r="D943" s="230" t="n">
        <x:f>'规格明细'!G160*'规格明细'!I160/100000000</x:f>
        <x:v>17.820000000000004</x:v>
      </x:c>
      <x:c r="E943" s="230" t="n">
        <x:f>C943-D943</x:f>
        <x:v>0</x:v>
      </x:c>
      <x:c r="F943" s="177" t="str">
        <x:f>IF(ABS(E943)&lt;0.000001,"PASS","FAIL")</x:f>
        <x:v>PASS</x:v>
      </x:c>
      <x:c r="G943" s="177" t="str">
        <x:v>组件数量×价格</x:v>
      </x:c>
      <x:c r="H943" s="184"/>
    </x:row>
    <x:row r="944">
      <x:c r="A944" s="177" t="str">
        <x:v>DYN-SPEC-REV-160</x:v>
      </x:c>
      <x:c r="B944" s="177" t="str">
        <x:v>optimistic 2028 pluggable-800g 800G理论收入</x:v>
      </x:c>
      <x:c r="C944" s="230" t="n">
        <x:f>'规格明细'!L160</x:f>
        <x:v>1.9602000000000006</x:v>
      </x:c>
      <x:c r="D944" s="230" t="n">
        <x:f>'规格明细'!K160*'规格明细'!J160</x:f>
        <x:v>1.9602000000000006</x:v>
      </x:c>
      <x:c r="E944" s="230" t="n">
        <x:f>C944-D944</x:f>
        <x:v>0</x:v>
      </x:c>
      <x:c r="F944" s="177" t="str">
        <x:f>IF(ABS(E944)&lt;0.000001,"PASS","FAIL")</x:f>
        <x:v>PASS</x:v>
      </x:c>
      <x:c r="G944" s="177" t="str">
        <x:v>份额只乘一次</x:v>
      </x:c>
      <x:c r="H944" s="184"/>
    </x:row>
    <x:row r="945">
      <x:c r="A945" s="177" t="str">
        <x:v>DYN-SPEC-Q-161</x:v>
      </x:c>
      <x:c r="B945" s="177" t="str">
        <x:v>optimistic 2028 pluggable-1p6t 1.6T数量</x:v>
      </x:c>
      <x:c r="C945" s="230" t="n">
        <x:f>'规格明细'!G161</x:f>
        <x:v>1050000000</x:v>
      </x:c>
      <x:c r="D945" s="230" t="n">
        <x:f>'规格明细'!D161*10000*'规格明细'!E161</x:f>
        <x:v>1050000000</x:v>
      </x:c>
      <x:c r="E945" s="230" t="n">
        <x:f>C945-D945</x:f>
        <x:v>0</x:v>
      </x:c>
      <x:c r="F945" s="177" t="str">
        <x:f>IF(ABS(E945)&lt;0.000001,"PASS","FAIL")</x:f>
        <x:v>PASS</x:v>
      </x:c>
      <x:c r="G945" s="177" t="str">
        <x:v>出货量×单位用量</x:v>
      </x:c>
      <x:c r="H945" s="184"/>
    </x:row>
    <x:row r="946">
      <x:c r="A946" s="177" t="str">
        <x:v>DYN-SPEC-TAM-161</x:v>
      </x:c>
      <x:c r="B946" s="177" t="str">
        <x:v>optimistic 2028 pluggable-1p6t 1.6T空间</x:v>
      </x:c>
      <x:c r="C946" s="230" t="n">
        <x:f>'规格明细'!K161</x:f>
        <x:v>52.3908</x:v>
      </x:c>
      <x:c r="D946" s="230" t="n">
        <x:f>'规格明细'!G161*'规格明细'!I161/100000000</x:f>
        <x:v>52.3908</x:v>
      </x:c>
      <x:c r="E946" s="230" t="n">
        <x:f>C946-D946</x:f>
        <x:v>0</x:v>
      </x:c>
      <x:c r="F946" s="177" t="str">
        <x:f>IF(ABS(E946)&lt;0.000001,"PASS","FAIL")</x:f>
        <x:v>PASS</x:v>
      </x:c>
      <x:c r="G946" s="177" t="str">
        <x:v>组件数量×价格</x:v>
      </x:c>
      <x:c r="H946" s="184"/>
    </x:row>
    <x:row r="947">
      <x:c r="A947" s="177" t="str">
        <x:v>DYN-SPEC-REV-161</x:v>
      </x:c>
      <x:c r="B947" s="177" t="str">
        <x:v>optimistic 2028 pluggable-1p6t 1.6T理论收入</x:v>
      </x:c>
      <x:c r="C947" s="230" t="n">
        <x:f>'规格明细'!L161</x:f>
        <x:v>5.762988000000001</x:v>
      </x:c>
      <x:c r="D947" s="230" t="n">
        <x:f>'规格明细'!K161*'规格明细'!J161</x:f>
        <x:v>5.762988000000001</x:v>
      </x:c>
      <x:c r="E947" s="230" t="n">
        <x:f>C947-D947</x:f>
        <x:v>0</x:v>
      </x:c>
      <x:c r="F947" s="177" t="str">
        <x:f>IF(ABS(E947)&lt;0.000001,"PASS","FAIL")</x:f>
        <x:v>PASS</x:v>
      </x:c>
      <x:c r="G947" s="177" t="str">
        <x:v>份额只乘一次</x:v>
      </x:c>
      <x:c r="H947" s="184"/>
    </x:row>
    <x:row r="948">
      <x:c r="A948" s="177" t="str">
        <x:v>DYN-SPEC-Q-162</x:v>
      </x:c>
      <x:c r="B948" s="177" t="str">
        <x:v>optimistic 2028 ocs 小端口参考系统数量</x:v>
      </x:c>
      <x:c r="C948" s="230" t="n">
        <x:f>'规格明细'!G162</x:f>
        <x:v>23040000</x:v>
      </x:c>
      <x:c r="D948" s="230" t="n">
        <x:f>'规格明细'!D162*10000*'规格明细'!E162</x:f>
        <x:v>23040000</x:v>
      </x:c>
      <x:c r="E948" s="230" t="n">
        <x:f>C948-D948</x:f>
        <x:v>0</x:v>
      </x:c>
      <x:c r="F948" s="177" t="str">
        <x:f>IF(ABS(E948)&lt;0.000001,"PASS","FAIL")</x:f>
        <x:v>PASS</x:v>
      </x:c>
      <x:c r="G948" s="177" t="str">
        <x:v>出货量×单位用量</x:v>
      </x:c>
      <x:c r="H948" s="184"/>
    </x:row>
    <x:row r="949">
      <x:c r="A949" s="177" t="str">
        <x:v>DYN-SPEC-TAM-162</x:v>
      </x:c>
      <x:c r="B949" s="177" t="str">
        <x:v>optimistic 2028 ocs 小端口参考系统空间</x:v>
      </x:c>
      <x:c r="C949" s="230" t="n">
        <x:f>'规格明细'!K162</x:f>
        <x:v>4.1472</x:v>
      </x:c>
      <x:c r="D949" s="230" t="n">
        <x:f>'规格明细'!G162*'规格明细'!I162/100000000</x:f>
        <x:v>4.1472</x:v>
      </x:c>
      <x:c r="E949" s="230" t="n">
        <x:f>C949-D949</x:f>
        <x:v>0</x:v>
      </x:c>
      <x:c r="F949" s="177" t="str">
        <x:f>IF(ABS(E949)&lt;0.000001,"PASS","FAIL")</x:f>
        <x:v>PASS</x:v>
      </x:c>
      <x:c r="G949" s="177" t="str">
        <x:v>组件数量×价格</x:v>
      </x:c>
      <x:c r="H949" s="184"/>
    </x:row>
    <x:row r="950">
      <x:c r="A950" s="177" t="str">
        <x:v>DYN-SPEC-REV-162</x:v>
      </x:c>
      <x:c r="B950" s="177" t="str">
        <x:v>optimistic 2028 ocs 小端口参考系统理论收入</x:v>
      </x:c>
      <x:c r="C950" s="230" t="n">
        <x:f>'规格明细'!L162</x:f>
        <x:v>3.6495360000000003</x:v>
      </x:c>
      <x:c r="D950" s="230" t="n">
        <x:f>'规格明细'!K162*'规格明细'!J162</x:f>
        <x:v>3.6495360000000003</x:v>
      </x:c>
      <x:c r="E950" s="230" t="n">
        <x:f>C950-D950</x:f>
        <x:v>0</x:v>
      </x:c>
      <x:c r="F950" s="177" t="str">
        <x:f>IF(ABS(E950)&lt;0.000001,"PASS","FAIL")</x:f>
        <x:v>PASS</x:v>
      </x:c>
      <x:c r="G950" s="177" t="str">
        <x:v>份额只乘一次</x:v>
      </x:c>
      <x:c r="H950" s="184"/>
    </x:row>
    <x:row r="951">
      <x:c r="A951" s="177" t="str">
        <x:v>DYN-SPEC-Q-163</x:v>
      </x:c>
      <x:c r="B951" s="177" t="str">
        <x:v>optimistic 2028 ocs 大端口320×320数量</x:v>
      </x:c>
      <x:c r="C951" s="230" t="n">
        <x:f>'规格明细'!G163</x:f>
        <x:v>70400000</x:v>
      </x:c>
      <x:c r="D951" s="230" t="n">
        <x:f>'规格明细'!D163*10000*'规格明细'!E163</x:f>
        <x:v>70400000</x:v>
      </x:c>
      <x:c r="E951" s="230" t="n">
        <x:f>C951-D951</x:f>
        <x:v>0</x:v>
      </x:c>
      <x:c r="F951" s="177" t="str">
        <x:f>IF(ABS(E951)&lt;0.000001,"PASS","FAIL")</x:f>
        <x:v>PASS</x:v>
      </x:c>
      <x:c r="G951" s="177" t="str">
        <x:v>出货量×单位用量</x:v>
      </x:c>
      <x:c r="H951" s="184"/>
    </x:row>
    <x:row r="952">
      <x:c r="A952" s="177" t="str">
        <x:v>DYN-SPEC-TAM-163</x:v>
      </x:c>
      <x:c r="B952" s="177" t="str">
        <x:v>optimistic 2028 ocs 大端口320×320空间</x:v>
      </x:c>
      <x:c r="C952" s="230" t="n">
        <x:f>'规格明细'!K163</x:f>
        <x:v>25.344</x:v>
      </x:c>
      <x:c r="D952" s="230" t="n">
        <x:f>'规格明细'!G163*'规格明细'!I163/100000000</x:f>
        <x:v>25.344</x:v>
      </x:c>
      <x:c r="E952" s="230" t="n">
        <x:f>C952-D952</x:f>
        <x:v>0</x:v>
      </x:c>
      <x:c r="F952" s="177" t="str">
        <x:f>IF(ABS(E952)&lt;0.000001,"PASS","FAIL")</x:f>
        <x:v>PASS</x:v>
      </x:c>
      <x:c r="G952" s="177" t="str">
        <x:v>组件数量×价格</x:v>
      </x:c>
      <x:c r="H952" s="184"/>
    </x:row>
    <x:row r="953">
      <x:c r="A953" s="177" t="str">
        <x:v>DYN-SPEC-REV-163</x:v>
      </x:c>
      <x:c r="B953" s="177" t="str">
        <x:v>optimistic 2028 ocs 大端口320×320理论收入</x:v>
      </x:c>
      <x:c r="C953" s="230" t="n">
        <x:f>'规格明细'!L163</x:f>
        <x:v>23.696640000000006</x:v>
      </x:c>
      <x:c r="D953" s="230" t="n">
        <x:f>'规格明细'!K163*'规格明细'!J163</x:f>
        <x:v>23.696640000000006</x:v>
      </x:c>
      <x:c r="E953" s="230" t="n">
        <x:f>C953-D953</x:f>
        <x:v>0</x:v>
      </x:c>
      <x:c r="F953" s="177" t="str">
        <x:f>IF(ABS(E953)&lt;0.000001,"PASS","FAIL")</x:f>
        <x:v>PASS</x:v>
      </x:c>
      <x:c r="G953" s="177" t="str">
        <x:v>份额只乘一次</x:v>
      </x:c>
      <x:c r="H953" s="184"/>
    </x:row>
    <x:row r="954">
      <x:c r="A954" s="177" t="str">
        <x:v>DYN-SPEC-Q-164</x:v>
      </x:c>
      <x:c r="B954" s="177" t="str">
        <x:v>optimistic 2028 vGroove 102.4T数量</x:v>
      </x:c>
      <x:c r="C954" s="230" t="n">
        <x:f>'规格明细'!G164</x:f>
        <x:v>345600000</x:v>
      </x:c>
      <x:c r="D954" s="230" t="n">
        <x:f>'规格明细'!D164*10000*'规格明细'!E164</x:f>
        <x:v>345600000</x:v>
      </x:c>
      <x:c r="E954" s="230" t="n">
        <x:f>C954-D954</x:f>
        <x:v>0</x:v>
      </x:c>
      <x:c r="F954" s="177" t="str">
        <x:f>IF(ABS(E954)&lt;0.000001,"PASS","FAIL")</x:f>
        <x:v>PASS</x:v>
      </x:c>
      <x:c r="G954" s="177" t="str">
        <x:v>出货量×单位用量</x:v>
      </x:c>
      <x:c r="H954" s="184"/>
    </x:row>
    <x:row r="955">
      <x:c r="A955" s="177" t="str">
        <x:v>DYN-SPEC-TAM-164</x:v>
      </x:c>
      <x:c r="B955" s="177" t="str">
        <x:v>optimistic 2028 vGroove 102.4T空间</x:v>
      </x:c>
      <x:c r="C955" s="230" t="n">
        <x:f>'规格明细'!K164</x:f>
        <x:v>24.524881920000006</x:v>
      </x:c>
      <x:c r="D955" s="230" t="n">
        <x:f>'规格明细'!G164*'规格明细'!I164/100000000</x:f>
        <x:v>24.524881920000006</x:v>
      </x:c>
      <x:c r="E955" s="230" t="n">
        <x:f>C955-D955</x:f>
        <x:v>0</x:v>
      </x:c>
      <x:c r="F955" s="177" t="str">
        <x:f>IF(ABS(E955)&lt;0.000001,"PASS","FAIL")</x:f>
        <x:v>PASS</x:v>
      </x:c>
      <x:c r="G955" s="177" t="str">
        <x:v>组件数量×价格</x:v>
      </x:c>
      <x:c r="H955" s="184"/>
    </x:row>
    <x:row r="956">
      <x:c r="A956" s="177" t="str">
        <x:v>DYN-SPEC-REV-164</x:v>
      </x:c>
      <x:c r="B956" s="177" t="str">
        <x:v>optimistic 2028 vGroove 102.4T理论收入</x:v>
      </x:c>
      <x:c r="C956" s="230" t="n">
        <x:f>'规格明细'!L164</x:f>
        <x:v>14.837553561600005</x:v>
      </x:c>
      <x:c r="D956" s="230" t="n">
        <x:f>'规格明细'!K164*'规格明细'!J164</x:f>
        <x:v>14.837553561600005</x:v>
      </x:c>
      <x:c r="E956" s="230" t="n">
        <x:f>C956-D956</x:f>
        <x:v>0</x:v>
      </x:c>
      <x:c r="F956" s="177" t="str">
        <x:f>IF(ABS(E956)&lt;0.000001,"PASS","FAIL")</x:f>
        <x:v>PASS</x:v>
      </x:c>
      <x:c r="G956" s="177" t="str">
        <x:v>份额只乘一次</x:v>
      </x:c>
      <x:c r="H956" s="184"/>
    </x:row>
    <x:row r="957">
      <x:c r="A957" s="177" t="str">
        <x:v>DYN-SPEC-Q-165</x:v>
      </x:c>
      <x:c r="B957" s="177" t="str">
        <x:v>optimistic 2028 vGroove 204.8T数量</x:v>
      </x:c>
      <x:c r="C957" s="230" t="n">
        <x:f>'规格明细'!G165</x:f>
        <x:v>460800000</x:v>
      </x:c>
      <x:c r="D957" s="230" t="n">
        <x:f>'规格明细'!D165*10000*'规格明细'!E165</x:f>
        <x:v>460800000</x:v>
      </x:c>
      <x:c r="E957" s="230" t="n">
        <x:f>C957-D957</x:f>
        <x:v>0</x:v>
      </x:c>
      <x:c r="F957" s="177" t="str">
        <x:f>IF(ABS(E957)&lt;0.000001,"PASS","FAIL")</x:f>
        <x:v>PASS</x:v>
      </x:c>
      <x:c r="G957" s="177" t="str">
        <x:v>出货量×单位用量</x:v>
      </x:c>
      <x:c r="H957" s="184"/>
    </x:row>
    <x:row r="958">
      <x:c r="A958" s="177" t="str">
        <x:v>DYN-SPEC-TAM-165</x:v>
      </x:c>
      <x:c r="B958" s="177" t="str">
        <x:v>optimistic 2028 vGroove 204.8T空间</x:v>
      </x:c>
      <x:c r="C958" s="230" t="n">
        <x:f>'规格明细'!K165</x:f>
        <x:v>40.8748032</x:v>
      </x:c>
      <x:c r="D958" s="230" t="n">
        <x:f>'规格明细'!G165*'规格明细'!I165/100000000</x:f>
        <x:v>40.8748032</x:v>
      </x:c>
      <x:c r="E958" s="230" t="n">
        <x:f>C958-D958</x:f>
        <x:v>0</x:v>
      </x:c>
      <x:c r="F958" s="177" t="str">
        <x:f>IF(ABS(E958)&lt;0.000001,"PASS","FAIL")</x:f>
        <x:v>PASS</x:v>
      </x:c>
      <x:c r="G958" s="177" t="str">
        <x:v>组件数量×价格</x:v>
      </x:c>
      <x:c r="H958" s="184"/>
    </x:row>
    <x:row r="959">
      <x:c r="A959" s="177" t="str">
        <x:v>DYN-SPEC-REV-165</x:v>
      </x:c>
      <x:c r="B959" s="177" t="str">
        <x:v>optimistic 2028 vGroove 204.8T理论收入</x:v>
      </x:c>
      <x:c r="C959" s="230" t="n">
        <x:f>'规格明细'!L165</x:f>
        <x:v>26.977370112000006</x:v>
      </x:c>
      <x:c r="D959" s="230" t="n">
        <x:f>'规格明细'!K165*'规格明细'!J165</x:f>
        <x:v>26.977370112000006</x:v>
      </x:c>
      <x:c r="E959" s="230" t="n">
        <x:f>C959-D959</x:f>
        <x:v>0</x:v>
      </x:c>
      <x:c r="F959" s="177" t="str">
        <x:f>IF(ABS(E959)&lt;0.000001,"PASS","FAIL")</x:f>
        <x:v>PASS</x:v>
      </x:c>
      <x:c r="G959" s="177" t="str">
        <x:v>份额只乘一次</x:v>
      </x:c>
      <x:c r="H959" s="184"/>
    </x:row>
    <x:row r="960">
      <x:c r="A960" s="177" t="str">
        <x:v>DYN-SPEC-Q-166</x:v>
      </x:c>
      <x:c r="B960" s="177" t="str">
        <x:v>optimistic 2028 fauPrism 102.4T数量</x:v>
      </x:c>
      <x:c r="C960" s="230" t="n">
        <x:f>'规格明细'!G166</x:f>
        <x:v>345600000</x:v>
      </x:c>
      <x:c r="D960" s="230" t="n">
        <x:f>'规格明细'!D166*10000*'规格明细'!E166</x:f>
        <x:v>345600000</x:v>
      </x:c>
      <x:c r="E960" s="230" t="n">
        <x:f>C960-D960</x:f>
        <x:v>0</x:v>
      </x:c>
      <x:c r="F960" s="177" t="str">
        <x:f>IF(ABS(E960)&lt;0.000001,"PASS","FAIL")</x:f>
        <x:v>PASS</x:v>
      </x:c>
      <x:c r="G960" s="177" t="str">
        <x:v>出货量×单位用量</x:v>
      </x:c>
      <x:c r="H960" s="184"/>
    </x:row>
    <x:row r="961">
      <x:c r="A961" s="177" t="str">
        <x:v>DYN-SPEC-TAM-166</x:v>
      </x:c>
      <x:c r="B961" s="177" t="str">
        <x:v>optimistic 2028 fauPrism 102.4T空间</x:v>
      </x:c>
      <x:c r="C961" s="230" t="n">
        <x:f>'规格明细'!K166</x:f>
        <x:v>35.035545600000006</x:v>
      </x:c>
      <x:c r="D961" s="230" t="n">
        <x:f>'规格明细'!G166*'规格明细'!I166/100000000</x:f>
        <x:v>35.035545600000006</x:v>
      </x:c>
      <x:c r="E961" s="230" t="n">
        <x:f>C961-D961</x:f>
        <x:v>0</x:v>
      </x:c>
      <x:c r="F961" s="177" t="str">
        <x:f>IF(ABS(E961)&lt;0.000001,"PASS","FAIL")</x:f>
        <x:v>PASS</x:v>
      </x:c>
      <x:c r="G961" s="177" t="str">
        <x:v>组件数量×价格</x:v>
      </x:c>
      <x:c r="H961" s="184"/>
    </x:row>
    <x:row r="962">
      <x:c r="A962" s="177" t="str">
        <x:v>DYN-SPEC-REV-166</x:v>
      </x:c>
      <x:c r="B962" s="177" t="str">
        <x:v>optimistic 2028 fauPrism 102.4T理论收入</x:v>
      </x:c>
      <x:c r="C962" s="230" t="n">
        <x:f>'规格明细'!L166</x:f>
        <x:v>15.765995520000002</x:v>
      </x:c>
      <x:c r="D962" s="230" t="n">
        <x:f>'规格明细'!K166*'规格明细'!J166</x:f>
        <x:v>15.765995520000002</x:v>
      </x:c>
      <x:c r="E962" s="230" t="n">
        <x:f>C962-D962</x:f>
        <x:v>0</x:v>
      </x:c>
      <x:c r="F962" s="177" t="str">
        <x:f>IF(ABS(E962)&lt;0.000001,"PASS","FAIL")</x:f>
        <x:v>PASS</x:v>
      </x:c>
      <x:c r="G962" s="177" t="str">
        <x:v>份额只乘一次</x:v>
      </x:c>
      <x:c r="H962" s="184"/>
    </x:row>
    <x:row r="963">
      <x:c r="A963" s="177" t="str">
        <x:v>DYN-SPEC-Q-167</x:v>
      </x:c>
      <x:c r="B963" s="177" t="str">
        <x:v>optimistic 2028 fauPrism 204.8T数量</x:v>
      </x:c>
      <x:c r="C963" s="230" t="n">
        <x:f>'规格明细'!G167</x:f>
        <x:v>460800000</x:v>
      </x:c>
      <x:c r="D963" s="230" t="n">
        <x:f>'规格明细'!D167*10000*'规格明细'!E167</x:f>
        <x:v>460800000</x:v>
      </x:c>
      <x:c r="E963" s="230" t="n">
        <x:f>C963-D963</x:f>
        <x:v>0</x:v>
      </x:c>
      <x:c r="F963" s="177" t="str">
        <x:f>IF(ABS(E963)&lt;0.000001,"PASS","FAIL")</x:f>
        <x:v>PASS</x:v>
      </x:c>
      <x:c r="G963" s="177" t="str">
        <x:v>出货量×单位用量</x:v>
      </x:c>
      <x:c r="H963" s="184"/>
    </x:row>
    <x:row r="964">
      <x:c r="A964" s="177" t="str">
        <x:v>DYN-SPEC-TAM-167</x:v>
      </x:c>
      <x:c r="B964" s="177" t="str">
        <x:v>optimistic 2028 fauPrism 204.8T空间</x:v>
      </x:c>
      <x:c r="C964" s="230" t="n">
        <x:f>'规格明细'!K167</x:f>
        <x:v>58.392576</x:v>
      </x:c>
      <x:c r="D964" s="230" t="n">
        <x:f>'规格明细'!G167*'规格明细'!I167/100000000</x:f>
        <x:v>58.392576</x:v>
      </x:c>
      <x:c r="E964" s="230" t="n">
        <x:f>C964-D964</x:f>
        <x:v>0</x:v>
      </x:c>
      <x:c r="F964" s="177" t="str">
        <x:f>IF(ABS(E964)&lt;0.000001,"PASS","FAIL")</x:f>
        <x:v>PASS</x:v>
      </x:c>
      <x:c r="G964" s="177" t="str">
        <x:v>组件数量×价格</x:v>
      </x:c>
      <x:c r="H964" s="184"/>
    </x:row>
    <x:row r="965">
      <x:c r="A965" s="177" t="str">
        <x:v>DYN-SPEC-REV-167</x:v>
      </x:c>
      <x:c r="B965" s="177" t="str">
        <x:v>optimistic 2028 fauPrism 204.8T理论收入</x:v>
      </x:c>
      <x:c r="C965" s="230" t="n">
        <x:f>'规格明细'!L167</x:f>
        <x:v>26.2766592</x:v>
      </x:c>
      <x:c r="D965" s="230" t="n">
        <x:f>'规格明细'!K167*'规格明细'!J167</x:f>
        <x:v>26.2766592</x:v>
      </x:c>
      <x:c r="E965" s="230" t="n">
        <x:f>C965-D965</x:f>
        <x:v>0</x:v>
      </x:c>
      <x:c r="F965" s="177" t="str">
        <x:f>IF(ABS(E965)&lt;0.000001,"PASS","FAIL")</x:f>
        <x:v>PASS</x:v>
      </x:c>
      <x:c r="G965" s="177" t="str">
        <x:v>份额只乘一次</x:v>
      </x:c>
      <x:c r="H965" s="184"/>
    </x:row>
    <x:row r="966">
      <x:c r="A966" s="177" t="str">
        <x:v>DYN-SPEC-Q-168</x:v>
      </x:c>
      <x:c r="B966" s="177" t="str">
        <x:v>optimistic 2028 externalLaser 102.4T数量</x:v>
      </x:c>
      <x:c r="C966" s="230" t="n">
        <x:f>'规格明细'!G168</x:f>
        <x:v>38400000</x:v>
      </x:c>
      <x:c r="D966" s="230" t="n">
        <x:f>'规格明细'!D168*10000*'规格明细'!E168</x:f>
        <x:v>38400000</x:v>
      </x:c>
      <x:c r="E966" s="230" t="n">
        <x:f>C966-D966</x:f>
        <x:v>0</x:v>
      </x:c>
      <x:c r="F966" s="177" t="str">
        <x:f>IF(ABS(E966)&lt;0.000001,"PASS","FAIL")</x:f>
        <x:v>PASS</x:v>
      </x:c>
      <x:c r="G966" s="177" t="str">
        <x:v>出货量×单位用量</x:v>
      </x:c>
      <x:c r="H966" s="184"/>
    </x:row>
    <x:row r="967">
      <x:c r="A967" s="177" t="str">
        <x:v>DYN-SPEC-TAM-168</x:v>
      </x:c>
      <x:c r="B967" s="177" t="str">
        <x:v>optimistic 2028 externalLaser 102.4T空间</x:v>
      </x:c>
      <x:c r="C967" s="230" t="n">
        <x:f>'规格明细'!K168</x:f>
        <x:v>19.464192</x:v>
      </x:c>
      <x:c r="D967" s="230" t="n">
        <x:f>'规格明细'!G168*'规格明细'!I168/100000000</x:f>
        <x:v>19.464192</x:v>
      </x:c>
      <x:c r="E967" s="230" t="n">
        <x:f>C967-D967</x:f>
        <x:v>0</x:v>
      </x:c>
      <x:c r="F967" s="177" t="str">
        <x:f>IF(ABS(E967)&lt;0.000001,"PASS","FAIL")</x:f>
        <x:v>PASS</x:v>
      </x:c>
      <x:c r="G967" s="177" t="str">
        <x:v>组件数量×价格</x:v>
      </x:c>
      <x:c r="H967" s="184"/>
    </x:row>
    <x:row r="968">
      <x:c r="A968" s="177" t="str">
        <x:v>DYN-SPEC-REV-168</x:v>
      </x:c>
      <x:c r="B968" s="177" t="str">
        <x:v>optimistic 2028 externalLaser 102.4T理论收入</x:v>
      </x:c>
      <x:c r="C968" s="230" t="n">
        <x:f>'规格明细'!L168</x:f>
        <x:v>9.277931520000001</x:v>
      </x:c>
      <x:c r="D968" s="230" t="n">
        <x:f>'规格明细'!K168*'规格明细'!J168</x:f>
        <x:v>9.277931520000001</x:v>
      </x:c>
      <x:c r="E968" s="230" t="n">
        <x:f>C968-D968</x:f>
        <x:v>0</x:v>
      </x:c>
      <x:c r="F968" s="177" t="str">
        <x:f>IF(ABS(E968)&lt;0.000001,"PASS","FAIL")</x:f>
        <x:v>PASS</x:v>
      </x:c>
      <x:c r="G968" s="177" t="str">
        <x:v>份额只乘一次</x:v>
      </x:c>
      <x:c r="H968" s="184"/>
    </x:row>
    <x:row r="969">
      <x:c r="A969" s="177" t="str">
        <x:v>DYN-SPEC-Q-169</x:v>
      </x:c>
      <x:c r="B969" s="177" t="str">
        <x:v>optimistic 2028 externalLaser 204.8T数量</x:v>
      </x:c>
      <x:c r="C969" s="230" t="n">
        <x:f>'规格明细'!G169</x:f>
        <x:v>25600000</x:v>
      </x:c>
      <x:c r="D969" s="230" t="n">
        <x:f>'规格明细'!D169*10000*'规格明细'!E169</x:f>
        <x:v>25600000</x:v>
      </x:c>
      <x:c r="E969" s="230" t="n">
        <x:f>C969-D969</x:f>
        <x:v>0</x:v>
      </x:c>
      <x:c r="F969" s="177" t="str">
        <x:f>IF(ABS(E969)&lt;0.000001,"PASS","FAIL")</x:f>
        <x:v>PASS</x:v>
      </x:c>
      <x:c r="G969" s="177" t="str">
        <x:v>出货量×单位用量</x:v>
      </x:c>
      <x:c r="H969" s="184"/>
    </x:row>
    <x:row r="970">
      <x:c r="A970" s="177" t="str">
        <x:v>DYN-SPEC-TAM-169</x:v>
      </x:c>
      <x:c r="B970" s="177" t="str">
        <x:v>optimistic 2028 externalLaser 204.8T空间</x:v>
      </x:c>
      <x:c r="C970" s="230" t="n">
        <x:f>'规格明细'!K169</x:f>
        <x:v>16.22016</x:v>
      </x:c>
      <x:c r="D970" s="230" t="n">
        <x:f>'规格明细'!G169*'规格明细'!I169/100000000</x:f>
        <x:v>16.22016</x:v>
      </x:c>
      <x:c r="E970" s="230" t="n">
        <x:f>C970-D970</x:f>
        <x:v>0</x:v>
      </x:c>
      <x:c r="F970" s="177" t="str">
        <x:f>IF(ABS(E970)&lt;0.000001,"PASS","FAIL")</x:f>
        <x:v>PASS</x:v>
      </x:c>
      <x:c r="G970" s="177" t="str">
        <x:v>组件数量×价格</x:v>
      </x:c>
      <x:c r="H970" s="184"/>
    </x:row>
    <x:row r="971">
      <x:c r="A971" s="177" t="str">
        <x:v>DYN-SPEC-REV-169</x:v>
      </x:c>
      <x:c r="B971" s="177" t="str">
        <x:v>optimistic 2028 externalLaser 204.8T理论收入</x:v>
      </x:c>
      <x:c r="C971" s="230" t="n">
        <x:f>'规格明细'!L169</x:f>
        <x:v>8.623718400000001</x:v>
      </x:c>
      <x:c r="D971" s="230" t="n">
        <x:f>'规格明细'!K169*'规格明细'!J169</x:f>
        <x:v>8.623718400000001</x:v>
      </x:c>
      <x:c r="E971" s="230" t="n">
        <x:f>C971-D971</x:f>
        <x:v>0</x:v>
      </x:c>
      <x:c r="F971" s="177" t="str">
        <x:f>IF(ABS(E971)&lt;0.000001,"PASS","FAIL")</x:f>
        <x:v>PASS</x:v>
      </x:c>
      <x:c r="G971" s="177" t="str">
        <x:v>份额只乘一次</x:v>
      </x:c>
      <x:c r="H971" s="184"/>
    </x:row>
    <x:row r="972">
      <x:c r="A972" s="177" t="str">
        <x:v>DYN-SPEC-Q-170</x:v>
      </x:c>
      <x:c r="B972" s="177" t="str">
        <x:v>optimistic 2028 equipment 102.4T数量</x:v>
      </x:c>
      <x:c r="C972" s="230" t="n">
        <x:f>'规格明细'!G170</x:f>
        <x:v>9600</x:v>
      </x:c>
      <x:c r="D972" s="230" t="n">
        <x:f>'规格明细'!D170*10000*'规格明细'!E170</x:f>
        <x:v>9600</x:v>
      </x:c>
      <x:c r="E972" s="230" t="n">
        <x:f>C972-D972</x:f>
        <x:v>0</x:v>
      </x:c>
      <x:c r="F972" s="177" t="str">
        <x:f>IF(ABS(E972)&lt;0.000001,"PASS","FAIL")</x:f>
        <x:v>PASS</x:v>
      </x:c>
      <x:c r="G972" s="177" t="str">
        <x:v>出货量×单位用量</x:v>
      </x:c>
      <x:c r="H972" s="184"/>
    </x:row>
    <x:row r="973">
      <x:c r="A973" s="177" t="str">
        <x:v>DYN-SPEC-TAM-170</x:v>
      </x:c>
      <x:c r="B973" s="177" t="str">
        <x:v>optimistic 2028 equipment 102.4T空间</x:v>
      </x:c>
      <x:c r="C973" s="230" t="n">
        <x:f>'规格明细'!K170</x:f>
        <x:v>6.7584</x:v>
      </x:c>
      <x:c r="D973" s="230" t="n">
        <x:f>'规格明细'!G170*'规格明细'!I170/100000000</x:f>
        <x:v>6.7584</x:v>
      </x:c>
      <x:c r="E973" s="230" t="n">
        <x:f>C973-D973</x:f>
        <x:v>0</x:v>
      </x:c>
      <x:c r="F973" s="177" t="str">
        <x:f>IF(ABS(E973)&lt;0.000001,"PASS","FAIL")</x:f>
        <x:v>PASS</x:v>
      </x:c>
      <x:c r="G973" s="177" t="str">
        <x:v>组件数量×价格</x:v>
      </x:c>
      <x:c r="H973" s="184"/>
    </x:row>
    <x:row r="974">
      <x:c r="A974" s="177" t="str">
        <x:v>DYN-SPEC-REV-170</x:v>
      </x:c>
      <x:c r="B974" s="177" t="str">
        <x:v>optimistic 2028 equipment 102.4T理论收入</x:v>
      </x:c>
      <x:c r="C974" s="230" t="n">
        <x:f>'规格明细'!L170</x:f>
        <x:v>3.3454080000000004</x:v>
      </x:c>
      <x:c r="D974" s="230" t="n">
        <x:f>'规格明细'!K170*'规格明细'!J170</x:f>
        <x:v>3.3454080000000004</x:v>
      </x:c>
      <x:c r="E974" s="230" t="n">
        <x:f>C974-D974</x:f>
        <x:v>0</x:v>
      </x:c>
      <x:c r="F974" s="177" t="str">
        <x:f>IF(ABS(E974)&lt;0.000001,"PASS","FAIL")</x:f>
        <x:v>PASS</x:v>
      </x:c>
      <x:c r="G974" s="177" t="str">
        <x:v>份额只乘一次</x:v>
      </x:c>
      <x:c r="H974" s="184"/>
    </x:row>
    <x:row r="975">
      <x:c r="A975" s="177" t="str">
        <x:v>DYN-SPEC-Q-171</x:v>
      </x:c>
      <x:c r="B975" s="177" t="str">
        <x:v>optimistic 2028 equipment 204.8T数量</x:v>
      </x:c>
      <x:c r="C975" s="230" t="n">
        <x:f>'规格明细'!G171</x:f>
        <x:v>6400</x:v>
      </x:c>
      <x:c r="D975" s="230" t="n">
        <x:f>'规格明细'!D171*10000*'规格明细'!E171</x:f>
        <x:v>6400</x:v>
      </x:c>
      <x:c r="E975" s="230" t="n">
        <x:f>C975-D975</x:f>
        <x:v>0</x:v>
      </x:c>
      <x:c r="F975" s="177" t="str">
        <x:f>IF(ABS(E975)&lt;0.000001,"PASS","FAIL")</x:f>
        <x:v>PASS</x:v>
      </x:c>
      <x:c r="G975" s="177" t="str">
        <x:v>出货量×单位用量</x:v>
      </x:c>
      <x:c r="H975" s="184"/>
    </x:row>
    <x:row r="976">
      <x:c r="A976" s="177" t="str">
        <x:v>DYN-SPEC-TAM-171</x:v>
      </x:c>
      <x:c r="B976" s="177" t="str">
        <x:v>optimistic 2028 equipment 204.8T空间</x:v>
      </x:c>
      <x:c r="C976" s="230" t="n">
        <x:f>'规格明细'!K171</x:f>
        <x:v>5.632</x:v>
      </x:c>
      <x:c r="D976" s="230" t="n">
        <x:f>'规格明细'!G171*'规格明细'!I171/100000000</x:f>
        <x:v>5.632</x:v>
      </x:c>
      <x:c r="E976" s="230" t="n">
        <x:f>C976-D976</x:f>
        <x:v>0</x:v>
      </x:c>
      <x:c r="F976" s="177" t="str">
        <x:f>IF(ABS(E976)&lt;0.000001,"PASS","FAIL")</x:f>
        <x:v>PASS</x:v>
      </x:c>
      <x:c r="G976" s="177" t="str">
        <x:v>组件数量×价格</x:v>
      </x:c>
      <x:c r="H976" s="184"/>
    </x:row>
    <x:row r="977">
      <x:c r="A977" s="177" t="str">
        <x:v>DYN-SPEC-REV-171</x:v>
      </x:c>
      <x:c r="B977" s="177" t="str">
        <x:v>optimistic 2028 equipment 204.8T理论收入</x:v>
      </x:c>
      <x:c r="C977" s="230" t="n">
        <x:f>'规格明细'!L171</x:f>
        <x:v>3.0976</x:v>
      </x:c>
      <x:c r="D977" s="230" t="n">
        <x:f>'规格明细'!K171*'规格明细'!J171</x:f>
        <x:v>3.0976</x:v>
      </x:c>
      <x:c r="E977" s="230" t="n">
        <x:f>C977-D977</x:f>
        <x:v>0</x:v>
      </x:c>
      <x:c r="F977" s="177" t="str">
        <x:f>IF(ABS(E977)&lt;0.000001,"PASS","FAIL")</x:f>
        <x:v>PASS</x:v>
      </x:c>
      <x:c r="G977" s="177" t="str">
        <x:v>份额只乘一次</x:v>
      </x:c>
      <x:c r="H977" s="184"/>
    </x:row>
    <x:row r="978">
      <x:c r="A978" s="177" t="str">
        <x:v>DYN-SPEC-Q-172</x:v>
      </x:c>
      <x:c r="B978" s="177" t="str">
        <x:v>optimistic 2029 pluggable-800g 800G数量</x:v>
      </x:c>
      <x:c r="C978" s="230" t="n">
        <x:f>'规格明细'!G172</x:f>
        <x:v>320000000</x:v>
      </x:c>
      <x:c r="D978" s="230" t="n">
        <x:f>'规格明细'!D172*10000*'规格明细'!E172</x:f>
        <x:v>320000000</x:v>
      </x:c>
      <x:c r="E978" s="230" t="n">
        <x:f>C978-D978</x:f>
        <x:v>0</x:v>
      </x:c>
      <x:c r="F978" s="177" t="str">
        <x:f>IF(ABS(E978)&lt;0.000001,"PASS","FAIL")</x:f>
        <x:v>PASS</x:v>
      </x:c>
      <x:c r="G978" s="177" t="str">
        <x:v>出货量×单位用量</x:v>
      </x:c>
      <x:c r="H978" s="184"/>
    </x:row>
    <x:row r="979">
      <x:c r="A979" s="177" t="str">
        <x:v>DYN-SPEC-TAM-172</x:v>
      </x:c>
      <x:c r="B979" s="177" t="str">
        <x:v>optimistic 2029 pluggable-800g 800G空间</x:v>
      </x:c>
      <x:c r="C979" s="230" t="n">
        <x:f>'规格明细'!K172</x:f>
        <x:v>10.264320000000001</x:v>
      </x:c>
      <x:c r="D979" s="230" t="n">
        <x:f>'规格明细'!G172*'规格明细'!I172/100000000</x:f>
        <x:v>10.264320000000001</x:v>
      </x:c>
      <x:c r="E979" s="230" t="n">
        <x:f>C979-D979</x:f>
        <x:v>0</x:v>
      </x:c>
      <x:c r="F979" s="177" t="str">
        <x:f>IF(ABS(E979)&lt;0.000001,"PASS","FAIL")</x:f>
        <x:v>PASS</x:v>
      </x:c>
      <x:c r="G979" s="177" t="str">
        <x:v>组件数量×价格</x:v>
      </x:c>
      <x:c r="H979" s="184"/>
    </x:row>
    <x:row r="980">
      <x:c r="A980" s="177" t="str">
        <x:v>DYN-SPEC-REV-172</x:v>
      </x:c>
      <x:c r="B980" s="177" t="str">
        <x:v>optimistic 2029 pluggable-800g 800G理论收入</x:v>
      </x:c>
      <x:c r="C980" s="230" t="n">
        <x:f>'规格明细'!L172</x:f>
        <x:v>1.1290752000000004</x:v>
      </x:c>
      <x:c r="D980" s="230" t="n">
        <x:f>'规格明细'!K172*'规格明细'!J172</x:f>
        <x:v>1.1290752000000004</x:v>
      </x:c>
      <x:c r="E980" s="230" t="n">
        <x:f>C980-D980</x:f>
        <x:v>0</x:v>
      </x:c>
      <x:c r="F980" s="177" t="str">
        <x:f>IF(ABS(E980)&lt;0.000001,"PASS","FAIL")</x:f>
        <x:v>PASS</x:v>
      </x:c>
      <x:c r="G980" s="177" t="str">
        <x:v>份额只乘一次</x:v>
      </x:c>
      <x:c r="H980" s="184"/>
    </x:row>
    <x:row r="981">
      <x:c r="A981" s="177" t="str">
        <x:v>DYN-SPEC-Q-173</x:v>
      </x:c>
      <x:c r="B981" s="177" t="str">
        <x:v>optimistic 2029 pluggable-1p6t 1.6T数量</x:v>
      </x:c>
      <x:c r="C981" s="230" t="n">
        <x:f>'规格明细'!G173</x:f>
        <x:v>1450000000</x:v>
      </x:c>
      <x:c r="D981" s="230" t="n">
        <x:f>'规格明细'!D173*10000*'规格明细'!E173</x:f>
        <x:v>1450000000</x:v>
      </x:c>
      <x:c r="E981" s="230" t="n">
        <x:f>C981-D981</x:f>
        <x:v>0</x:v>
      </x:c>
      <x:c r="F981" s="177" t="str">
        <x:f>IF(ABS(E981)&lt;0.000001,"PASS","FAIL")</x:f>
        <x:v>PASS</x:v>
      </x:c>
      <x:c r="G981" s="177" t="str">
        <x:v>出货量×单位用量</x:v>
      </x:c>
      <x:c r="H981" s="184"/>
    </x:row>
    <x:row r="982">
      <x:c r="A982" s="177" t="str">
        <x:v>DYN-SPEC-TAM-173</x:v>
      </x:c>
      <x:c r="B982" s="177" t="str">
        <x:v>optimistic 2029 pluggable-1p6t 1.6T空间</x:v>
      </x:c>
      <x:c r="C982" s="230" t="n">
        <x:f>'规格明细'!K173</x:f>
        <x:v>65.11428</x:v>
      </x:c>
      <x:c r="D982" s="230" t="n">
        <x:f>'规格明细'!G173*'规格明细'!I173/100000000</x:f>
        <x:v>65.11428</x:v>
      </x:c>
      <x:c r="E982" s="230" t="n">
        <x:f>C982-D982</x:f>
        <x:v>0</x:v>
      </x:c>
      <x:c r="F982" s="177" t="str">
        <x:f>IF(ABS(E982)&lt;0.000001,"PASS","FAIL")</x:f>
        <x:v>PASS</x:v>
      </x:c>
      <x:c r="G982" s="177" t="str">
        <x:v>组件数量×价格</x:v>
      </x:c>
      <x:c r="H982" s="184"/>
    </x:row>
    <x:row r="983">
      <x:c r="A983" s="177" t="str">
        <x:v>DYN-SPEC-REV-173</x:v>
      </x:c>
      <x:c r="B983" s="177" t="str">
        <x:v>optimistic 2029 pluggable-1p6t 1.6T理论收入</x:v>
      </x:c>
      <x:c r="C983" s="230" t="n">
        <x:f>'规格明细'!L173</x:f>
        <x:v>7.1625708</x:v>
      </x:c>
      <x:c r="D983" s="230" t="n">
        <x:f>'规格明细'!K173*'规格明细'!J173</x:f>
        <x:v>7.1625708</x:v>
      </x:c>
      <x:c r="E983" s="230" t="n">
        <x:f>C983-D983</x:f>
        <x:v>0</x:v>
      </x:c>
      <x:c r="F983" s="177" t="str">
        <x:f>IF(ABS(E983)&lt;0.000001,"PASS","FAIL")</x:f>
        <x:v>PASS</x:v>
      </x:c>
      <x:c r="G983" s="177" t="str">
        <x:v>份额只乘一次</x:v>
      </x:c>
      <x:c r="H983" s="184"/>
    </x:row>
    <x:row r="984">
      <x:c r="A984" s="177" t="str">
        <x:v>DYN-SPEC-Q-174</x:v>
      </x:c>
      <x:c r="B984" s="177" t="str">
        <x:v>optimistic 2029 ocs 小端口参考系统数量</x:v>
      </x:c>
      <x:c r="C984" s="230" t="n">
        <x:f>'规格明细'!G174</x:f>
        <x:v>28672000</x:v>
      </x:c>
      <x:c r="D984" s="230" t="n">
        <x:f>'规格明细'!D174*10000*'规格明细'!E174</x:f>
        <x:v>28672000</x:v>
      </x:c>
      <x:c r="E984" s="230" t="n">
        <x:f>C984-D984</x:f>
        <x:v>0</x:v>
      </x:c>
      <x:c r="F984" s="177" t="str">
        <x:f>IF(ABS(E984)&lt;0.000001,"PASS","FAIL")</x:f>
        <x:v>PASS</x:v>
      </x:c>
      <x:c r="G984" s="177" t="str">
        <x:v>出货量×单位用量</x:v>
      </x:c>
      <x:c r="H984" s="184"/>
    </x:row>
    <x:row r="985">
      <x:c r="A985" s="177" t="str">
        <x:v>DYN-SPEC-TAM-174</x:v>
      </x:c>
      <x:c r="B985" s="177" t="str">
        <x:v>optimistic 2029 ocs 小端口参考系统空间</x:v>
      </x:c>
      <x:c r="C985" s="230" t="n">
        <x:f>'规格明细'!K174</x:f>
        <x:v>4.644864</x:v>
      </x:c>
      <x:c r="D985" s="230" t="n">
        <x:f>'规格明细'!G174*'规格明细'!I174/100000000</x:f>
        <x:v>4.644864</x:v>
      </x:c>
      <x:c r="E985" s="230" t="n">
        <x:f>C985-D985</x:f>
        <x:v>0</x:v>
      </x:c>
      <x:c r="F985" s="177" t="str">
        <x:f>IF(ABS(E985)&lt;0.000001,"PASS","FAIL")</x:f>
        <x:v>PASS</x:v>
      </x:c>
      <x:c r="G985" s="177" t="str">
        <x:v>组件数量×价格</x:v>
      </x:c>
      <x:c r="H985" s="184"/>
    </x:row>
    <x:row r="986">
      <x:c r="A986" s="177" t="str">
        <x:v>DYN-SPEC-REV-174</x:v>
      </x:c>
      <x:c r="B986" s="177" t="str">
        <x:v>optimistic 2029 ocs 小端口参考系统理论收入</x:v>
      </x:c>
      <x:c r="C986" s="230" t="n">
        <x:f>'规格明细'!L174</x:f>
        <x:v>3.5765452800000004</x:v>
      </x:c>
      <x:c r="D986" s="230" t="n">
        <x:f>'规格明细'!K174*'规格明细'!J174</x:f>
        <x:v>3.5765452800000004</x:v>
      </x:c>
      <x:c r="E986" s="230" t="n">
        <x:f>C986-D986</x:f>
        <x:v>0</x:v>
      </x:c>
      <x:c r="F986" s="177" t="str">
        <x:f>IF(ABS(E986)&lt;0.000001,"PASS","FAIL")</x:f>
        <x:v>PASS</x:v>
      </x:c>
      <x:c r="G986" s="177" t="str">
        <x:v>份额只乘一次</x:v>
      </x:c>
      <x:c r="H986" s="184"/>
    </x:row>
    <x:row r="987">
      <x:c r="A987" s="177" t="str">
        <x:v>DYN-SPEC-Q-175</x:v>
      </x:c>
      <x:c r="B987" s="177" t="str">
        <x:v>optimistic 2029 ocs 大端口320×320数量</x:v>
      </x:c>
      <x:c r="C987" s="230" t="n">
        <x:f>'规格明细'!G175</x:f>
        <x:v>133120000</x:v>
      </x:c>
      <x:c r="D987" s="230" t="n">
        <x:f>'规格明细'!D175*10000*'规格明细'!E175</x:f>
        <x:v>133120000</x:v>
      </x:c>
      <x:c r="E987" s="230" t="n">
        <x:f>C987-D987</x:f>
        <x:v>0</x:v>
      </x:c>
      <x:c r="F987" s="177" t="str">
        <x:f>IF(ABS(E987)&lt;0.000001,"PASS","FAIL")</x:f>
        <x:v>PASS</x:v>
      </x:c>
      <x:c r="G987" s="177" t="str">
        <x:v>出货量×单位用量</x:v>
      </x:c>
      <x:c r="H987" s="184"/>
    </x:row>
    <x:row r="988">
      <x:c r="A988" s="177" t="str">
        <x:v>DYN-SPEC-TAM-175</x:v>
      </x:c>
      <x:c r="B988" s="177" t="str">
        <x:v>optimistic 2029 ocs 大端口320×320空间</x:v>
      </x:c>
      <x:c r="C988" s="230" t="n">
        <x:f>'规格明细'!K175</x:f>
        <x:v>43.13088</x:v>
      </x:c>
      <x:c r="D988" s="230" t="n">
        <x:f>'规格明细'!G175*'规格明细'!I175/100000000</x:f>
        <x:v>43.13088</x:v>
      </x:c>
      <x:c r="E988" s="230" t="n">
        <x:f>C988-D988</x:f>
        <x:v>0</x:v>
      </x:c>
      <x:c r="F988" s="177" t="str">
        <x:f>IF(ABS(E988)&lt;0.000001,"PASS","FAIL")</x:f>
        <x:v>PASS</x:v>
      </x:c>
      <x:c r="G988" s="177" t="str">
        <x:v>组件数量×价格</x:v>
      </x:c>
      <x:c r="H988" s="184"/>
    </x:row>
    <x:row r="989">
      <x:c r="A989" s="177" t="str">
        <x:v>DYN-SPEC-REV-175</x:v>
      </x:c>
      <x:c r="B989" s="177" t="str">
        <x:v>optimistic 2029 ocs 大端口320×320理论收入</x:v>
      </x:c>
      <x:c r="C989" s="230" t="n">
        <x:f>'规格明细'!L175</x:f>
        <x:v>35.582976</x:v>
      </x:c>
      <x:c r="D989" s="230" t="n">
        <x:f>'规格明细'!K175*'规格明细'!J175</x:f>
        <x:v>35.582976</x:v>
      </x:c>
      <x:c r="E989" s="230" t="n">
        <x:f>C989-D989</x:f>
        <x:v>0</x:v>
      </x:c>
      <x:c r="F989" s="177" t="str">
        <x:f>IF(ABS(E989)&lt;0.000001,"PASS","FAIL")</x:f>
        <x:v>PASS</x:v>
      </x:c>
      <x:c r="G989" s="177" t="str">
        <x:v>份额只乘一次</x:v>
      </x:c>
      <x:c r="H989" s="184"/>
    </x:row>
    <x:row r="990">
      <x:c r="A990" s="177" t="str">
        <x:v>DYN-SPEC-Q-176</x:v>
      </x:c>
      <x:c r="B990" s="177" t="str">
        <x:v>optimistic 2029 vGroove 102.4T数量</x:v>
      </x:c>
      <x:c r="C990" s="230" t="n">
        <x:f>'规格明细'!G176</x:f>
        <x:v>342719999.99999994</x:v>
      </x:c>
      <x:c r="D990" s="230" t="n">
        <x:f>'规格明细'!D176*10000*'规格明细'!E176</x:f>
        <x:v>342719999.99999994</x:v>
      </x:c>
      <x:c r="E990" s="230" t="n">
        <x:f>C990-D990</x:f>
        <x:v>0</x:v>
      </x:c>
      <x:c r="F990" s="177" t="str">
        <x:f>IF(ABS(E990)&lt;0.000001,"PASS","FAIL")</x:f>
        <x:v>PASS</x:v>
      </x:c>
      <x:c r="G990" s="177" t="str">
        <x:v>出货量×单位用量</x:v>
      </x:c>
      <x:c r="H990" s="184"/>
    </x:row>
    <x:row r="991">
      <x:c r="A991" s="177" t="str">
        <x:v>DYN-SPEC-TAM-176</x:v>
      </x:c>
      <x:c r="B991" s="177" t="str">
        <x:v>optimistic 2029 vGroove 102.4T空间</x:v>
      </x:c>
      <x:c r="C991" s="230" t="n">
        <x:f>'规格明细'!K176</x:f>
        <x:v>21.8884571136</x:v>
      </x:c>
      <x:c r="D991" s="230" t="n">
        <x:f>'规格明细'!G176*'规格明细'!I176/100000000</x:f>
        <x:v>21.8884571136</x:v>
      </x:c>
      <x:c r="E991" s="230" t="n">
        <x:f>C991-D991</x:f>
        <x:v>0</x:v>
      </x:c>
      <x:c r="F991" s="177" t="str">
        <x:f>IF(ABS(E991)&lt;0.000001,"PASS","FAIL")</x:f>
        <x:v>PASS</x:v>
      </x:c>
      <x:c r="G991" s="177" t="str">
        <x:v>组件数量×价格</x:v>
      </x:c>
      <x:c r="H991" s="184"/>
    </x:row>
    <x:row r="992">
      <x:c r="A992" s="177" t="str">
        <x:v>DYN-SPEC-REV-176</x:v>
      </x:c>
      <x:c r="B992" s="177" t="str">
        <x:v>optimistic 2029 vGroove 102.4T理论收入</x:v>
      </x:c>
      <x:c r="C992" s="230" t="n">
        <x:f>'规格明细'!L176</x:f>
        <x:v>14.446381694976</x:v>
      </x:c>
      <x:c r="D992" s="230" t="n">
        <x:f>'规格明细'!K176*'规格明细'!J176</x:f>
        <x:v>14.446381694976</x:v>
      </x:c>
      <x:c r="E992" s="230" t="n">
        <x:f>C992-D992</x:f>
        <x:v>0</x:v>
      </x:c>
      <x:c r="F992" s="177" t="str">
        <x:f>IF(ABS(E992)&lt;0.000001,"PASS","FAIL")</x:f>
        <x:v>PASS</x:v>
      </x:c>
      <x:c r="G992" s="177" t="str">
        <x:v>份额只乘一次</x:v>
      </x:c>
      <x:c r="H992" s="184"/>
    </x:row>
    <x:row r="993">
      <x:c r="A993" s="177" t="str">
        <x:v>DYN-SPEC-Q-177</x:v>
      </x:c>
      <x:c r="B993" s="177" t="str">
        <x:v>optimistic 2029 vGroove 204.8T数量</x:v>
      </x:c>
      <x:c r="C993" s="230" t="n">
        <x:f>'规格明细'!G177</x:f>
        <x:v>1272960000</x:v>
      </x:c>
      <x:c r="D993" s="230" t="n">
        <x:f>'规格明细'!D177*10000*'规格明细'!E177</x:f>
        <x:v>1272960000</x:v>
      </x:c>
      <x:c r="E993" s="230" t="n">
        <x:f>C993-D993</x:f>
        <x:v>0</x:v>
      </x:c>
      <x:c r="F993" s="177" t="str">
        <x:f>IF(ABS(E993)&lt;0.000001,"PASS","FAIL")</x:f>
        <x:v>PASS</x:v>
      </x:c>
      <x:c r="G993" s="177" t="str">
        <x:v>出货量×单位用量</x:v>
      </x:c>
      <x:c r="H993" s="184"/>
    </x:row>
    <x:row r="994">
      <x:c r="A994" s="177" t="str">
        <x:v>DYN-SPEC-TAM-177</x:v>
      </x:c>
      <x:c r="B994" s="177" t="str">
        <x:v>optimistic 2029 vGroove 204.8T空间</x:v>
      </x:c>
      <x:c r="C994" s="230" t="n">
        <x:f>'规格明细'!K177</x:f>
        <x:v>101.624979456</x:v>
      </x:c>
      <x:c r="D994" s="230" t="n">
        <x:f>'规格明细'!G177*'规格明细'!I177/100000000</x:f>
        <x:v>101.624979456</x:v>
      </x:c>
      <x:c r="E994" s="230" t="n">
        <x:f>C994-D994</x:f>
        <x:v>0</x:v>
      </x:c>
      <x:c r="F994" s="177" t="str">
        <x:f>IF(ABS(E994)&lt;0.000001,"PASS","FAIL")</x:f>
        <x:v>PASS</x:v>
      </x:c>
      <x:c r="G994" s="177" t="str">
        <x:v>组件数量×价格</x:v>
      </x:c>
      <x:c r="H994" s="184"/>
    </x:row>
    <x:row r="995">
      <x:c r="A995" s="177" t="str">
        <x:v>DYN-SPEC-REV-177</x:v>
      </x:c>
      <x:c r="B995" s="177" t="str">
        <x:v>optimistic 2029 vGroove 204.8T理论收入</x:v>
      </x:c>
      <x:c r="C995" s="230" t="n">
        <x:f>'规格明细'!L177</x:f>
        <x:v>72.66186031104002</x:v>
      </x:c>
      <x:c r="D995" s="230" t="n">
        <x:f>'规格明细'!K177*'规格明细'!J177</x:f>
        <x:v>72.66186031104002</x:v>
      </x:c>
      <x:c r="E995" s="230" t="n">
        <x:f>C995-D995</x:f>
        <x:v>0</x:v>
      </x:c>
      <x:c r="F995" s="177" t="str">
        <x:f>IF(ABS(E995)&lt;0.000001,"PASS","FAIL")</x:f>
        <x:v>PASS</x:v>
      </x:c>
      <x:c r="G995" s="177" t="str">
        <x:v>份额只乘一次</x:v>
      </x:c>
      <x:c r="H995" s="184"/>
    </x:row>
    <x:row r="996">
      <x:c r="A996" s="177" t="str">
        <x:v>DYN-SPEC-Q-178</x:v>
      </x:c>
      <x:c r="B996" s="177" t="str">
        <x:v>optimistic 2029 fauPrism 102.4T数量</x:v>
      </x:c>
      <x:c r="C996" s="230" t="n">
        <x:f>'规格明细'!G178</x:f>
        <x:v>342719999.99999994</x:v>
      </x:c>
      <x:c r="D996" s="230" t="n">
        <x:f>'规格明细'!D178*10000*'规格明细'!E178</x:f>
        <x:v>342719999.99999994</x:v>
      </x:c>
      <x:c r="E996" s="230" t="n">
        <x:f>C996-D996</x:f>
        <x:v>0</x:v>
      </x:c>
      <x:c r="F996" s="177" t="str">
        <x:f>IF(ABS(E996)&lt;0.000001,"PASS","FAIL")</x:f>
        <x:v>PASS</x:v>
      </x:c>
      <x:c r="G996" s="177" t="str">
        <x:v>出货量×单位用量</x:v>
      </x:c>
      <x:c r="H996" s="184"/>
    </x:row>
    <x:row r="997">
      <x:c r="A997" s="177" t="str">
        <x:v>DYN-SPEC-TAM-178</x:v>
      </x:c>
      <x:c r="B997" s="177" t="str">
        <x:v>optimistic 2029 fauPrism 102.4T空间</x:v>
      </x:c>
      <x:c r="C997" s="230" t="n">
        <x:f>'规格明细'!K178</x:f>
        <x:v>31.269224447999996</x:v>
      </x:c>
      <x:c r="D997" s="230" t="n">
        <x:f>'规格明细'!G178*'规格明细'!I178/100000000</x:f>
        <x:v>31.269224447999996</x:v>
      </x:c>
      <x:c r="E997" s="230" t="n">
        <x:f>C997-D997</x:f>
        <x:v>0</x:v>
      </x:c>
      <x:c r="F997" s="177" t="str">
        <x:f>IF(ABS(E997)&lt;0.000001,"PASS","FAIL")</x:f>
        <x:v>PASS</x:v>
      </x:c>
      <x:c r="G997" s="177" t="str">
        <x:v>组件数量×价格</x:v>
      </x:c>
      <x:c r="H997" s="184"/>
    </x:row>
    <x:row r="998">
      <x:c r="A998" s="177" t="str">
        <x:v>DYN-SPEC-REV-178</x:v>
      </x:c>
      <x:c r="B998" s="177" t="str">
        <x:v>optimistic 2029 fauPrism 102.4T理论收入</x:v>
      </x:c>
      <x:c r="C998" s="230" t="n">
        <x:f>'规格明细'!L178</x:f>
        <x:v>14.071151001599999</x:v>
      </x:c>
      <x:c r="D998" s="230" t="n">
        <x:f>'规格明细'!K178*'规格明细'!J178</x:f>
        <x:v>14.071151001599999</x:v>
      </x:c>
      <x:c r="E998" s="230" t="n">
        <x:f>C998-D998</x:f>
        <x:v>0</x:v>
      </x:c>
      <x:c r="F998" s="177" t="str">
        <x:f>IF(ABS(E998)&lt;0.000001,"PASS","FAIL")</x:f>
        <x:v>PASS</x:v>
      </x:c>
      <x:c r="G998" s="177" t="str">
        <x:v>份额只乘一次</x:v>
      </x:c>
      <x:c r="H998" s="184"/>
    </x:row>
    <x:row r="999">
      <x:c r="A999" s="177" t="str">
        <x:v>DYN-SPEC-Q-179</x:v>
      </x:c>
      <x:c r="B999" s="177" t="str">
        <x:v>optimistic 2029 fauPrism 204.8T数量</x:v>
      </x:c>
      <x:c r="C999" s="230" t="n">
        <x:f>'规格明细'!G179</x:f>
        <x:v>1272960000</x:v>
      </x:c>
      <x:c r="D999" s="230" t="n">
        <x:f>'规格明细'!D179*10000*'规格明细'!E179</x:f>
        <x:v>1272960000</x:v>
      </x:c>
      <x:c r="E999" s="230" t="n">
        <x:f>C999-D999</x:f>
        <x:v>0</x:v>
      </x:c>
      <x:c r="F999" s="177" t="str">
        <x:f>IF(ABS(E999)&lt;0.000001,"PASS","FAIL")</x:f>
        <x:v>PASS</x:v>
      </x:c>
      <x:c r="G999" s="177" t="str">
        <x:v>出货量×单位用量</x:v>
      </x:c>
      <x:c r="H999" s="184"/>
    </x:row>
    <x:row r="1000">
      <x:c r="A1000" s="177" t="str">
        <x:v>DYN-SPEC-TAM-179</x:v>
      </x:c>
      <x:c r="B1000" s="177" t="str">
        <x:v>optimistic 2029 fauPrism 204.8T空间</x:v>
      </x:c>
      <x:c r="C1000" s="230" t="n">
        <x:f>'规格明细'!K179</x:f>
        <x:v>145.17854208000003</x:v>
      </x:c>
      <x:c r="D1000" s="230" t="n">
        <x:f>'规格明细'!G179*'规格明细'!I179/100000000</x:f>
        <x:v>145.17854208000003</x:v>
      </x:c>
      <x:c r="E1000" s="230" t="n">
        <x:f>C1000-D1000</x:f>
        <x:v>0</x:v>
      </x:c>
      <x:c r="F1000" s="177" t="str">
        <x:f>IF(ABS(E1000)&lt;0.000001,"PASS","FAIL")</x:f>
        <x:v>PASS</x:v>
      </x:c>
      <x:c r="G1000" s="177" t="str">
        <x:v>组件数量×价格</x:v>
      </x:c>
      <x:c r="H1000" s="184"/>
    </x:row>
    <x:row r="1001">
      <x:c r="A1001" s="177" t="str">
        <x:v>DYN-SPEC-REV-179</x:v>
      </x:c>
      <x:c r="B1001" s="177" t="str">
        <x:v>optimistic 2029 fauPrism 204.8T理论收入</x:v>
      </x:c>
      <x:c r="C1001" s="230" t="n">
        <x:f>'规格明细'!L179</x:f>
        <x:v>65.33034393600002</x:v>
      </x:c>
      <x:c r="D1001" s="230" t="n">
        <x:f>'规格明细'!K179*'规格明细'!J179</x:f>
        <x:v>65.33034393600002</x:v>
      </x:c>
      <x:c r="E1001" s="230" t="n">
        <x:f>C1001-D1001</x:f>
        <x:v>0</x:v>
      </x:c>
      <x:c r="F1001" s="177" t="str">
        <x:f>IF(ABS(E1001)&lt;0.000001,"PASS","FAIL")</x:f>
        <x:v>PASS</x:v>
      </x:c>
      <x:c r="G1001" s="177" t="str">
        <x:v>份额只乘一次</x:v>
      </x:c>
      <x:c r="H1001" s="184"/>
    </x:row>
    <x:row r="1002">
      <x:c r="A1002" s="177" t="str">
        <x:v>DYN-SPEC-Q-180</x:v>
      </x:c>
      <x:c r="B1002" s="177" t="str">
        <x:v>optimistic 2029 externalLaser 102.4T数量</x:v>
      </x:c>
      <x:c r="C1002" s="230" t="n">
        <x:f>'规格明细'!G180</x:f>
        <x:v>38079999.99999999</x:v>
      </x:c>
      <x:c r="D1002" s="230" t="n">
        <x:f>'规格明细'!D180*10000*'规格明细'!E180</x:f>
        <x:v>38079999.99999999</x:v>
      </x:c>
      <x:c r="E1002" s="230" t="n">
        <x:f>C1002-D1002</x:f>
        <x:v>0</x:v>
      </x:c>
      <x:c r="F1002" s="177" t="str">
        <x:f>IF(ABS(E1002)&lt;0.000001,"PASS","FAIL")</x:f>
        <x:v>PASS</x:v>
      </x:c>
      <x:c r="G1002" s="177" t="str">
        <x:v>出货量×单位用量</x:v>
      </x:c>
      <x:c r="H1002" s="184"/>
    </x:row>
    <x:row r="1003">
      <x:c r="A1003" s="177" t="str">
        <x:v>DYN-SPEC-TAM-180</x:v>
      </x:c>
      <x:c r="B1003" s="177" t="str">
        <x:v>optimistic 2029 externalLaser 102.4T空间</x:v>
      </x:c>
      <x:c r="C1003" s="230" t="n">
        <x:f>'规格明细'!K180</x:f>
        <x:v>17.37179136</x:v>
      </x:c>
      <x:c r="D1003" s="230" t="n">
        <x:f>'规格明细'!G180*'规格明细'!I180/100000000</x:f>
        <x:v>17.37179136</x:v>
      </x:c>
      <x:c r="E1003" s="230" t="n">
        <x:f>C1003-D1003</x:f>
        <x:v>0</x:v>
      </x:c>
      <x:c r="F1003" s="177" t="str">
        <x:f>IF(ABS(E1003)&lt;0.000001,"PASS","FAIL")</x:f>
        <x:v>PASS</x:v>
      </x:c>
      <x:c r="G1003" s="177" t="str">
        <x:v>组件数量×价格</x:v>
      </x:c>
      <x:c r="H1003" s="184"/>
    </x:row>
    <x:row r="1004">
      <x:c r="A1004" s="177" t="str">
        <x:v>DYN-SPEC-REV-180</x:v>
      </x:c>
      <x:c r="B1004" s="177" t="str">
        <x:v>optimistic 2029 externalLaser 102.4T理论收入</x:v>
      </x:c>
      <x:c r="C1004" s="230" t="n">
        <x:f>'规格明细'!L180</x:f>
        <x:v>7.9620710400000005</x:v>
      </x:c>
      <x:c r="D1004" s="230" t="n">
        <x:f>'规格明细'!K180*'规格明细'!J180</x:f>
        <x:v>7.9620710400000005</x:v>
      </x:c>
      <x:c r="E1004" s="230" t="n">
        <x:f>C1004-D1004</x:f>
        <x:v>0</x:v>
      </x:c>
      <x:c r="F1004" s="177" t="str">
        <x:f>IF(ABS(E1004)&lt;0.000001,"PASS","FAIL")</x:f>
        <x:v>PASS</x:v>
      </x:c>
      <x:c r="G1004" s="177" t="str">
        <x:v>份额只乘一次</x:v>
      </x:c>
      <x:c r="H1004" s="184"/>
    </x:row>
    <x:row r="1005">
      <x:c r="A1005" s="177" t="str">
        <x:v>DYN-SPEC-Q-181</x:v>
      </x:c>
      <x:c r="B1005" s="177" t="str">
        <x:v>optimistic 2029 externalLaser 204.8T数量</x:v>
      </x:c>
      <x:c r="C1005" s="230" t="n">
        <x:f>'规格明细'!G181</x:f>
        <x:v>70720000</x:v>
      </x:c>
      <x:c r="D1005" s="230" t="n">
        <x:f>'规格明细'!D181*10000*'规格明细'!E181</x:f>
        <x:v>70720000</x:v>
      </x:c>
      <x:c r="E1005" s="230" t="n">
        <x:f>C1005-D1005</x:f>
        <x:v>0</x:v>
      </x:c>
      <x:c r="F1005" s="177" t="str">
        <x:f>IF(ABS(E1005)&lt;0.000001,"PASS","FAIL")</x:f>
        <x:v>PASS</x:v>
      </x:c>
      <x:c r="G1005" s="177" t="str">
        <x:v>出货量×单位用量</x:v>
      </x:c>
      <x:c r="H1005" s="184"/>
    </x:row>
    <x:row r="1006">
      <x:c r="A1006" s="177" t="str">
        <x:v>DYN-SPEC-TAM-181</x:v>
      </x:c>
      <x:c r="B1006" s="177" t="str">
        <x:v>optimistic 2029 externalLaser 204.8T空间</x:v>
      </x:c>
      <x:c r="C1006" s="230" t="n">
        <x:f>'规格明细'!K181</x:f>
        <x:v>40.3273728</x:v>
      </x:c>
      <x:c r="D1006" s="230" t="n">
        <x:f>'规格明细'!G181*'规格明细'!I181/100000000</x:f>
        <x:v>40.3273728</x:v>
      </x:c>
      <x:c r="E1006" s="230" t="n">
        <x:f>C1006-D1006</x:f>
        <x:v>0</x:v>
      </x:c>
      <x:c r="F1006" s="177" t="str">
        <x:f>IF(ABS(E1006)&lt;0.000001,"PASS","FAIL")</x:f>
        <x:v>PASS</x:v>
      </x:c>
      <x:c r="G1006" s="177" t="str">
        <x:v>组件数量×价格</x:v>
      </x:c>
      <x:c r="H1006" s="184"/>
    </x:row>
    <x:row r="1007">
      <x:c r="A1007" s="177" t="str">
        <x:v>DYN-SPEC-REV-181</x:v>
      </x:c>
      <x:c r="B1007" s="177" t="str">
        <x:v>optimistic 2029 externalLaser 204.8T理论收入</x:v>
      </x:c>
      <x:c r="C1007" s="230" t="n">
        <x:f>'规格明细'!L181</x:f>
        <x:v>20.701384704000002</x:v>
      </x:c>
      <x:c r="D1007" s="230" t="n">
        <x:f>'规格明细'!K181*'规格明细'!J181</x:f>
        <x:v>20.701384704000002</x:v>
      </x:c>
      <x:c r="E1007" s="230" t="n">
        <x:f>C1007-D1007</x:f>
        <x:v>0</x:v>
      </x:c>
      <x:c r="F1007" s="177" t="str">
        <x:f>IF(ABS(E1007)&lt;0.000001,"PASS","FAIL")</x:f>
        <x:v>PASS</x:v>
      </x:c>
      <x:c r="G1007" s="177" t="str">
        <x:v>份额只乘一次</x:v>
      </x:c>
      <x:c r="H1007" s="184"/>
    </x:row>
    <x:row r="1008">
      <x:c r="A1008" s="177" t="str">
        <x:v>DYN-SPEC-Q-182</x:v>
      </x:c>
      <x:c r="B1008" s="177" t="str">
        <x:v>optimistic 2029 equipment 102.4T数量</x:v>
      </x:c>
      <x:c r="C1008" s="230" t="n">
        <x:f>'规格明细'!G182</x:f>
        <x:v>9519.999999999998</x:v>
      </x:c>
      <x:c r="D1008" s="230" t="n">
        <x:f>'规格明细'!D182*10000*'规格明细'!E182</x:f>
        <x:v>9519.999999999998</x:v>
      </x:c>
      <x:c r="E1008" s="230" t="n">
        <x:f>C1008-D1008</x:f>
        <x:v>0</x:v>
      </x:c>
      <x:c r="F1008" s="177" t="str">
        <x:f>IF(ABS(E1008)&lt;0.000001,"PASS","FAIL")</x:f>
        <x:v>PASS</x:v>
      </x:c>
      <x:c r="G1008" s="177" t="str">
        <x:v>出货量×单位用量</x:v>
      </x:c>
      <x:c r="H1008" s="184"/>
    </x:row>
    <x:row r="1009">
      <x:c r="A1009" s="177" t="str">
        <x:v>DYN-SPEC-TAM-182</x:v>
      </x:c>
      <x:c r="B1009" s="177" t="str">
        <x:v>optimistic 2029 equipment 102.4T空间</x:v>
      </x:c>
      <x:c r="C1009" s="230" t="n">
        <x:f>'规格明细'!K182</x:f>
        <x:v>6.702079999999999</x:v>
      </x:c>
      <x:c r="D1009" s="230" t="n">
        <x:f>'规格明细'!G182*'规格明细'!I182/100000000</x:f>
        <x:v>6.702079999999999</x:v>
      </x:c>
      <x:c r="E1009" s="230" t="n">
        <x:f>C1009-D1009</x:f>
        <x:v>0</x:v>
      </x:c>
      <x:c r="F1009" s="177" t="str">
        <x:f>IF(ABS(E1009)&lt;0.000001,"PASS","FAIL")</x:f>
        <x:v>PASS</x:v>
      </x:c>
      <x:c r="G1009" s="177" t="str">
        <x:v>组件数量×价格</x:v>
      </x:c>
      <x:c r="H1009" s="184"/>
    </x:row>
    <x:row r="1010">
      <x:c r="A1010" s="177" t="str">
        <x:v>DYN-SPEC-REV-182</x:v>
      </x:c>
      <x:c r="B1010" s="177" t="str">
        <x:v>optimistic 2029 equipment 102.4T理论收入</x:v>
      </x:c>
      <x:c r="C1010" s="230" t="n">
        <x:f>'规格明细'!L182</x:f>
        <x:v>3.6861439999999996</x:v>
      </x:c>
      <x:c r="D1010" s="230" t="n">
        <x:f>'规格明细'!K182*'规格明细'!J182</x:f>
        <x:v>3.6861439999999996</x:v>
      </x:c>
      <x:c r="E1010" s="230" t="n">
        <x:f>C1010-D1010</x:f>
        <x:v>0</x:v>
      </x:c>
      <x:c r="F1010" s="177" t="str">
        <x:f>IF(ABS(E1010)&lt;0.000001,"PASS","FAIL")</x:f>
        <x:v>PASS</x:v>
      </x:c>
      <x:c r="G1010" s="177" t="str">
        <x:v>份额只乘一次</x:v>
      </x:c>
      <x:c r="H1010" s="184"/>
    </x:row>
    <x:row r="1011">
      <x:c r="A1011" s="177" t="str">
        <x:v>DYN-SPEC-Q-183</x:v>
      </x:c>
      <x:c r="B1011" s="177" t="str">
        <x:v>optimistic 2029 equipment 204.8T数量</x:v>
      </x:c>
      <x:c r="C1011" s="230" t="n">
        <x:f>'规格明细'!G183</x:f>
        <x:v>17680</x:v>
      </x:c>
      <x:c r="D1011" s="230" t="n">
        <x:f>'规格明细'!D183*10000*'规格明细'!E183</x:f>
        <x:v>17680</x:v>
      </x:c>
      <x:c r="E1011" s="230" t="n">
        <x:f>C1011-D1011</x:f>
        <x:v>0</x:v>
      </x:c>
      <x:c r="F1011" s="177" t="str">
        <x:f>IF(ABS(E1011)&lt;0.000001,"PASS","FAIL")</x:f>
        <x:v>PASS</x:v>
      </x:c>
      <x:c r="G1011" s="177" t="str">
        <x:v>出货量×单位用量</x:v>
      </x:c>
      <x:c r="H1011" s="184"/>
    </x:row>
    <x:row r="1012">
      <x:c r="A1012" s="177" t="str">
        <x:v>DYN-SPEC-TAM-183</x:v>
      </x:c>
      <x:c r="B1012" s="177" t="str">
        <x:v>optimistic 2029 equipment 204.8T空间</x:v>
      </x:c>
      <x:c r="C1012" s="230" t="n">
        <x:f>'规格明细'!K183</x:f>
        <x:v>15.5584</x:v>
      </x:c>
      <x:c r="D1012" s="230" t="n">
        <x:f>'规格明细'!G183*'规格明细'!I183/100000000</x:f>
        <x:v>15.5584</x:v>
      </x:c>
      <x:c r="E1012" s="230" t="n">
        <x:f>C1012-D1012</x:f>
        <x:v>0</x:v>
      </x:c>
      <x:c r="F1012" s="177" t="str">
        <x:f>IF(ABS(E1012)&lt;0.000001,"PASS","FAIL")</x:f>
        <x:v>PASS</x:v>
      </x:c>
      <x:c r="G1012" s="177" t="str">
        <x:v>组件数量×价格</x:v>
      </x:c>
      <x:c r="H1012" s="184"/>
    </x:row>
    <x:row r="1013">
      <x:c r="A1013" s="177" t="str">
        <x:v>DYN-SPEC-REV-183</x:v>
      </x:c>
      <x:c r="B1013" s="177" t="str">
        <x:v>optimistic 2029 equipment 204.8T理论收入</x:v>
      </x:c>
      <x:c r="C1013" s="230" t="n">
        <x:f>'规格明细'!L183</x:f>
        <x:v>9.412832000000002</x:v>
      </x:c>
      <x:c r="D1013" s="230" t="n">
        <x:f>'规格明细'!K183*'规格明细'!J183</x:f>
        <x:v>9.412832000000002</x:v>
      </x:c>
      <x:c r="E1013" s="230" t="n">
        <x:f>C1013-D1013</x:f>
        <x:v>0</x:v>
      </x:c>
      <x:c r="F1013" s="177" t="str">
        <x:f>IF(ABS(E1013)&lt;0.000001,"PASS","FAIL")</x:f>
        <x:v>PASS</x:v>
      </x:c>
      <x:c r="G1013" s="177" t="str">
        <x:v>份额只乘一次</x:v>
      </x:c>
      <x:c r="H1013" s="184"/>
    </x:row>
    <x:row r="1014">
      <x:c r="A1014" s="177" t="str">
        <x:v>DYN-SPEC-Q-184</x:v>
      </x:c>
      <x:c r="B1014" s="177" t="str">
        <x:v>optimistic 2030 pluggable-800g 800G数量</x:v>
      </x:c>
      <x:c r="C1014" s="230" t="n">
        <x:f>'规格明细'!G184</x:f>
        <x:v>180000000</x:v>
      </x:c>
      <x:c r="D1014" s="230" t="n">
        <x:f>'规格明细'!D184*10000*'规格明细'!E184</x:f>
        <x:v>180000000</x:v>
      </x:c>
      <x:c r="E1014" s="230" t="n">
        <x:f>C1014-D1014</x:f>
        <x:v>0</x:v>
      </x:c>
      <x:c r="F1014" s="177" t="str">
        <x:f>IF(ABS(E1014)&lt;0.000001,"PASS","FAIL")</x:f>
        <x:v>PASS</x:v>
      </x:c>
      <x:c r="G1014" s="177" t="str">
        <x:v>出货量×单位用量</x:v>
      </x:c>
      <x:c r="H1014" s="184"/>
    </x:row>
    <x:row r="1015">
      <x:c r="A1015" s="177" t="str">
        <x:v>DYN-SPEC-TAM-184</x:v>
      </x:c>
      <x:c r="B1015" s="177" t="str">
        <x:v>optimistic 2030 pluggable-800g 800G空间</x:v>
      </x:c>
      <x:c r="C1015" s="230" t="n">
        <x:f>'规格明细'!K184</x:f>
        <x:v>5.196312000000001</x:v>
      </x:c>
      <x:c r="D1015" s="230" t="n">
        <x:f>'规格明细'!G184*'规格明细'!I184/100000000</x:f>
        <x:v>5.196312000000001</x:v>
      </x:c>
      <x:c r="E1015" s="230" t="n">
        <x:f>C1015-D1015</x:f>
        <x:v>0</x:v>
      </x:c>
      <x:c r="F1015" s="177" t="str">
        <x:f>IF(ABS(E1015)&lt;0.000001,"PASS","FAIL")</x:f>
        <x:v>PASS</x:v>
      </x:c>
      <x:c r="G1015" s="177" t="str">
        <x:v>组件数量×价格</x:v>
      </x:c>
      <x:c r="H1015" s="184"/>
    </x:row>
    <x:row r="1016">
      <x:c r="A1016" s="177" t="str">
        <x:v>DYN-SPEC-REV-184</x:v>
      </x:c>
      <x:c r="B1016" s="177" t="str">
        <x:v>optimistic 2030 pluggable-800g 800G理论收入</x:v>
      </x:c>
      <x:c r="C1016" s="230" t="n">
        <x:f>'规格明细'!L184</x:f>
        <x:v>0.5715943200000001</x:v>
      </x:c>
      <x:c r="D1016" s="230" t="n">
        <x:f>'规格明细'!K184*'规格明细'!J184</x:f>
        <x:v>0.5715943200000001</x:v>
      </x:c>
      <x:c r="E1016" s="230" t="n">
        <x:f>C1016-D1016</x:f>
        <x:v>0</x:v>
      </x:c>
      <x:c r="F1016" s="177" t="str">
        <x:f>IF(ABS(E1016)&lt;0.000001,"PASS","FAIL")</x:f>
        <x:v>PASS</x:v>
      </x:c>
      <x:c r="G1016" s="177" t="str">
        <x:v>份额只乘一次</x:v>
      </x:c>
      <x:c r="H1016" s="184"/>
    </x:row>
    <x:row r="1017">
      <x:c r="A1017" s="177" t="str">
        <x:v>DYN-SPEC-Q-185</x:v>
      </x:c>
      <x:c r="B1017" s="177" t="str">
        <x:v>optimistic 2030 pluggable-1p6t 1.6T数量</x:v>
      </x:c>
      <x:c r="C1017" s="230" t="n">
        <x:f>'规格明细'!G185</x:f>
        <x:v>1600000000</x:v>
      </x:c>
      <x:c r="D1017" s="230" t="n">
        <x:f>'规格明细'!D185*10000*'规格明细'!E185</x:f>
        <x:v>1600000000</x:v>
      </x:c>
      <x:c r="E1017" s="230" t="n">
        <x:f>C1017-D1017</x:f>
        <x:v>0</x:v>
      </x:c>
      <x:c r="F1017" s="177" t="str">
        <x:f>IF(ABS(E1017)&lt;0.000001,"PASS","FAIL")</x:f>
        <x:v>PASS</x:v>
      </x:c>
      <x:c r="G1017" s="177" t="str">
        <x:v>出货量×单位用量</x:v>
      </x:c>
      <x:c r="H1017" s="184"/>
    </x:row>
    <x:row r="1018">
      <x:c r="A1018" s="177" t="str">
        <x:v>DYN-SPEC-TAM-185</x:v>
      </x:c>
      <x:c r="B1018" s="177" t="str">
        <x:v>optimistic 2030 pluggable-1p6t 1.6T空间</x:v>
      </x:c>
      <x:c r="C1018" s="230" t="n">
        <x:f>'规格明细'!K185</x:f>
        <x:v>64.665216</x:v>
      </x:c>
      <x:c r="D1018" s="230" t="n">
        <x:f>'规格明细'!G185*'规格明细'!I185/100000000</x:f>
        <x:v>64.665216</x:v>
      </x:c>
      <x:c r="E1018" s="230" t="n">
        <x:f>C1018-D1018</x:f>
        <x:v>0</x:v>
      </x:c>
      <x:c r="F1018" s="177" t="str">
        <x:f>IF(ABS(E1018)&lt;0.000001,"PASS","FAIL")</x:f>
        <x:v>PASS</x:v>
      </x:c>
      <x:c r="G1018" s="177" t="str">
        <x:v>组件数量×价格</x:v>
      </x:c>
      <x:c r="H1018" s="184"/>
    </x:row>
    <x:row r="1019">
      <x:c r="A1019" s="177" t="str">
        <x:v>DYN-SPEC-REV-185</x:v>
      </x:c>
      <x:c r="B1019" s="177" t="str">
        <x:v>optimistic 2030 pluggable-1p6t 1.6T理论收入</x:v>
      </x:c>
      <x:c r="C1019" s="230" t="n">
        <x:f>'规格明细'!L185</x:f>
        <x:v>7.113173760000001</x:v>
      </x:c>
      <x:c r="D1019" s="230" t="n">
        <x:f>'规格明细'!K185*'规格明细'!J185</x:f>
        <x:v>7.113173760000001</x:v>
      </x:c>
      <x:c r="E1019" s="230" t="n">
        <x:f>C1019-D1019</x:f>
        <x:v>0</x:v>
      </x:c>
      <x:c r="F1019" s="177" t="str">
        <x:f>IF(ABS(E1019)&lt;0.000001,"PASS","FAIL")</x:f>
        <x:v>PASS</x:v>
      </x:c>
      <x:c r="G1019" s="177" t="str">
        <x:v>份额只乘一次</x:v>
      </x:c>
      <x:c r="H1019" s="184"/>
    </x:row>
    <x:row r="1020">
      <x:c r="A1020" s="177" t="str">
        <x:v>DYN-SPEC-Q-186</x:v>
      </x:c>
      <x:c r="B1020" s="177" t="str">
        <x:v>optimistic 2030 ocs 小端口参考系统数量</x:v>
      </x:c>
      <x:c r="C1020" s="230" t="n">
        <x:f>'规格明细'!G186</x:f>
        <x:v>28800000</x:v>
      </x:c>
      <x:c r="D1020" s="230" t="n">
        <x:f>'规格明细'!D186*10000*'规格明细'!E186</x:f>
        <x:v>28800000</x:v>
      </x:c>
      <x:c r="E1020" s="230" t="n">
        <x:f>C1020-D1020</x:f>
        <x:v>0</x:v>
      </x:c>
      <x:c r="F1020" s="177" t="str">
        <x:f>IF(ABS(E1020)&lt;0.000001,"PASS","FAIL")</x:f>
        <x:v>PASS</x:v>
      </x:c>
      <x:c r="G1020" s="177" t="str">
        <x:v>出货量×单位用量</x:v>
      </x:c>
      <x:c r="H1020" s="184"/>
    </x:row>
    <x:row r="1021">
      <x:c r="A1021" s="177" t="str">
        <x:v>DYN-SPEC-TAM-186</x:v>
      </x:c>
      <x:c r="B1021" s="177" t="str">
        <x:v>optimistic 2030 ocs 小端口参考系统空间</x:v>
      </x:c>
      <x:c r="C1021" s="230" t="n">
        <x:f>'规格明细'!K186</x:f>
        <x:v>4.199040000000001</x:v>
      </x:c>
      <x:c r="D1021" s="230" t="n">
        <x:f>'规格明细'!G186*'规格明细'!I186/100000000</x:f>
        <x:v>4.199040000000001</x:v>
      </x:c>
      <x:c r="E1021" s="230" t="n">
        <x:f>C1021-D1021</x:f>
        <x:v>0</x:v>
      </x:c>
      <x:c r="F1021" s="177" t="str">
        <x:f>IF(ABS(E1021)&lt;0.000001,"PASS","FAIL")</x:f>
        <x:v>PASS</x:v>
      </x:c>
      <x:c r="G1021" s="177" t="str">
        <x:v>组件数量×价格</x:v>
      </x:c>
      <x:c r="H1021" s="184"/>
    </x:row>
    <x:row r="1022">
      <x:c r="A1022" s="177" t="str">
        <x:v>DYN-SPEC-REV-186</x:v>
      </x:c>
      <x:c r="B1022" s="177" t="str">
        <x:v>optimistic 2030 ocs 小端口参考系统理论收入</x:v>
      </x:c>
      <x:c r="C1022" s="230" t="n">
        <x:f>'规格明细'!L186</x:f>
        <x:v>2.7713664000000007</x:v>
      </x:c>
      <x:c r="D1022" s="230" t="n">
        <x:f>'规格明细'!K186*'规格明细'!J186</x:f>
        <x:v>2.7713664000000007</x:v>
      </x:c>
      <x:c r="E1022" s="230" t="n">
        <x:f>C1022-D1022</x:f>
        <x:v>0</x:v>
      </x:c>
      <x:c r="F1022" s="177" t="str">
        <x:f>IF(ABS(E1022)&lt;0.000001,"PASS","FAIL")</x:f>
        <x:v>PASS</x:v>
      </x:c>
      <x:c r="G1022" s="177" t="str">
        <x:v>份额只乘一次</x:v>
      </x:c>
      <x:c r="H1022" s="184"/>
    </x:row>
    <x:row r="1023">
      <x:c r="A1023" s="177" t="str">
        <x:v>DYN-SPEC-Q-187</x:v>
      </x:c>
      <x:c r="B1023" s="177" t="str">
        <x:v>optimistic 2030 ocs 大端口320×320数量</x:v>
      </x:c>
      <x:c r="C1023" s="230" t="n">
        <x:f>'规格明细'!G187</x:f>
        <x:v>216000000</x:v>
      </x:c>
      <x:c r="D1023" s="230" t="n">
        <x:f>'规格明细'!D187*10000*'规格明细'!E187</x:f>
        <x:v>216000000</x:v>
      </x:c>
      <x:c r="E1023" s="230" t="n">
        <x:f>C1023-D1023</x:f>
        <x:v>0</x:v>
      </x:c>
      <x:c r="F1023" s="177" t="str">
        <x:f>IF(ABS(E1023)&lt;0.000001,"PASS","FAIL")</x:f>
        <x:v>PASS</x:v>
      </x:c>
      <x:c r="G1023" s="177" t="str">
        <x:v>出货量×单位用量</x:v>
      </x:c>
      <x:c r="H1023" s="184"/>
    </x:row>
    <x:row r="1024">
      <x:c r="A1024" s="177" t="str">
        <x:v>DYN-SPEC-TAM-187</x:v>
      </x:c>
      <x:c r="B1024" s="177" t="str">
        <x:v>optimistic 2030 ocs 大端口320×320空间</x:v>
      </x:c>
      <x:c r="C1024" s="230" t="n">
        <x:f>'规格明细'!K187</x:f>
        <x:v>62.98560000000001</x:v>
      </x:c>
      <x:c r="D1024" s="230" t="n">
        <x:f>'规格明细'!G187*'规格明细'!I187/100000000</x:f>
        <x:v>62.98560000000001</x:v>
      </x:c>
      <x:c r="E1024" s="230" t="n">
        <x:f>C1024-D1024</x:f>
        <x:v>0</x:v>
      </x:c>
      <x:c r="F1024" s="177" t="str">
        <x:f>IF(ABS(E1024)&lt;0.000001,"PASS","FAIL")</x:f>
        <x:v>PASS</x:v>
      </x:c>
      <x:c r="G1024" s="177" t="str">
        <x:v>组件数量×价格</x:v>
      </x:c>
      <x:c r="H1024" s="184"/>
    </x:row>
    <x:row r="1025">
      <x:c r="A1025" s="177" t="str">
        <x:v>DYN-SPEC-REV-187</x:v>
      </x:c>
      <x:c r="B1025" s="177" t="str">
        <x:v>optimistic 2030 ocs 大端口320×320理论收入</x:v>
      </x:c>
      <x:c r="C1025" s="230" t="n">
        <x:f>'规格明细'!L187</x:f>
        <x:v>45.03470400000001</x:v>
      </x:c>
      <x:c r="D1025" s="230" t="n">
        <x:f>'规格明细'!K187*'规格明细'!J187</x:f>
        <x:v>45.03470400000001</x:v>
      </x:c>
      <x:c r="E1025" s="230" t="n">
        <x:f>C1025-D1025</x:f>
        <x:v>0</x:v>
      </x:c>
      <x:c r="F1025" s="177" t="str">
        <x:f>IF(ABS(E1025)&lt;0.000001,"PASS","FAIL")</x:f>
        <x:v>PASS</x:v>
      </x:c>
      <x:c r="G1025" s="177" t="str">
        <x:v>份额只乘一次</x:v>
      </x:c>
      <x:c r="H1025" s="184"/>
    </x:row>
    <x:row r="1026">
      <x:c r="A1026" s="177" t="str">
        <x:v>DYN-SPEC-Q-188</x:v>
      </x:c>
      <x:c r="B1026" s="177" t="str">
        <x:v>optimistic 2030 vGroove 102.4T数量</x:v>
      </x:c>
      <x:c r="C1026" s="230" t="n">
        <x:f>'规格明细'!G188</x:f>
        <x:v>276479999.99999994</x:v>
      </x:c>
      <x:c r="D1026" s="230" t="n">
        <x:f>'规格明细'!D188*10000*'规格明细'!E188</x:f>
        <x:v>276479999.99999994</x:v>
      </x:c>
      <x:c r="E1026" s="230" t="n">
        <x:f>C1026-D1026</x:f>
        <x:v>0</x:v>
      </x:c>
      <x:c r="F1026" s="177" t="str">
        <x:f>IF(ABS(E1026)&lt;0.000001,"PASS","FAIL")</x:f>
        <x:v>PASS</x:v>
      </x:c>
      <x:c r="G1026" s="177" t="str">
        <x:v>出货量×单位用量</x:v>
      </x:c>
      <x:c r="H1026" s="184"/>
    </x:row>
    <x:row r="1027">
      <x:c r="A1027" s="177" t="str">
        <x:v>DYN-SPEC-TAM-188</x:v>
      </x:c>
      <x:c r="B1027" s="177" t="str">
        <x:v>optimistic 2030 vGroove 102.4T空间</x:v>
      </x:c>
      <x:c r="C1027" s="230" t="n">
        <x:f>'规格明细'!K188</x:f>
        <x:v>15.89212348416</x:v>
      </x:c>
      <x:c r="D1027" s="230" t="n">
        <x:f>'规格明细'!G188*'规格明细'!I188/100000000</x:f>
        <x:v>15.89212348416</x:v>
      </x:c>
      <x:c r="E1027" s="230" t="n">
        <x:f>C1027-D1027</x:f>
        <x:v>0</x:v>
      </x:c>
      <x:c r="F1027" s="177" t="str">
        <x:f>IF(ABS(E1027)&lt;0.000001,"PASS","FAIL")</x:f>
        <x:v>PASS</x:v>
      </x:c>
      <x:c r="G1027" s="177" t="str">
        <x:v>组件数量×价格</x:v>
      </x:c>
      <x:c r="H1027" s="184"/>
    </x:row>
    <x:row r="1028">
      <x:c r="A1028" s="177" t="str">
        <x:v>DYN-SPEC-REV-188</x:v>
      </x:c>
      <x:c r="B1028" s="177" t="str">
        <x:v>optimistic 2030 vGroove 102.4T理论收入</x:v>
      </x:c>
      <x:c r="C1028" s="230" t="n">
        <x:f>'规格明细'!L188</x:f>
        <x:v>11.362868291174403</x:v>
      </x:c>
      <x:c r="D1028" s="230" t="n">
        <x:f>'规格明细'!K188*'规格明细'!J188</x:f>
        <x:v>11.362868291174403</x:v>
      </x:c>
      <x:c r="E1028" s="230" t="n">
        <x:f>C1028-D1028</x:f>
        <x:v>0</x:v>
      </x:c>
      <x:c r="F1028" s="177" t="str">
        <x:f>IF(ABS(E1028)&lt;0.000001,"PASS","FAIL")</x:f>
        <x:v>PASS</x:v>
      </x:c>
      <x:c r="G1028" s="177" t="str">
        <x:v>份额只乘一次</x:v>
      </x:c>
      <x:c r="H1028" s="184"/>
    </x:row>
    <x:row r="1029">
      <x:c r="A1029" s="177" t="str">
        <x:v>DYN-SPEC-Q-189</x:v>
      </x:c>
      <x:c r="B1029" s="177" t="str">
        <x:v>optimistic 2030 vGroove 204.8T数量</x:v>
      </x:c>
      <x:c r="C1029" s="230" t="n">
        <x:f>'规格明细'!G189</x:f>
        <x:v>2211840000</x:v>
      </x:c>
      <x:c r="D1029" s="230" t="n">
        <x:f>'规格明细'!D189*10000*'规格明细'!E189</x:f>
        <x:v>2211840000</x:v>
      </x:c>
      <x:c r="E1029" s="230" t="n">
        <x:f>C1029-D1029</x:f>
        <x:v>0</x:v>
      </x:c>
      <x:c r="F1029" s="177" t="str">
        <x:f>IF(ABS(E1029)&lt;0.000001,"PASS","FAIL")</x:f>
        <x:v>PASS</x:v>
      </x:c>
      <x:c r="G1029" s="177" t="str">
        <x:v>出货量×单位用量</x:v>
      </x:c>
      <x:c r="H1029" s="184"/>
    </x:row>
    <x:row r="1030">
      <x:c r="A1030" s="177" t="str">
        <x:v>DYN-SPEC-TAM-189</x:v>
      </x:c>
      <x:c r="B1030" s="177" t="str">
        <x:v>optimistic 2030 vGroove 204.8T空间</x:v>
      </x:c>
      <x:c r="C1030" s="230" t="n">
        <x:f>'规格明细'!K189</x:f>
        <x:v>158.9212348416</x:v>
      </x:c>
      <x:c r="D1030" s="230" t="n">
        <x:f>'规格明细'!G189*'规格明细'!I189/100000000</x:f>
        <x:v>158.9212348416</x:v>
      </x:c>
      <x:c r="E1030" s="230" t="n">
        <x:f>C1030-D1030</x:f>
        <x:v>0</x:v>
      </x:c>
      <x:c r="F1030" s="177" t="str">
        <x:f>IF(ABS(E1030)&lt;0.000001,"PASS","FAIL")</x:f>
        <x:v>PASS</x:v>
      </x:c>
      <x:c r="G1030" s="177" t="str">
        <x:v>组件数量×价格</x:v>
      </x:c>
      <x:c r="H1030" s="184"/>
    </x:row>
    <x:row r="1031">
      <x:c r="A1031" s="177" t="str">
        <x:v>DYN-SPEC-REV-189</x:v>
      </x:c>
      <x:c r="B1031" s="177" t="str">
        <x:v>optimistic 2030 vGroove 204.8T理论收入</x:v>
      </x:c>
      <x:c r="C1031" s="230" t="n">
        <x:f>'规格明细'!L189</x:f>
        <x:v>122.36935082803203</x:v>
      </x:c>
      <x:c r="D1031" s="230" t="n">
        <x:f>'规格明细'!K189*'规格明细'!J189</x:f>
        <x:v>122.36935082803203</x:v>
      </x:c>
      <x:c r="E1031" s="230" t="n">
        <x:f>C1031-D1031</x:f>
        <x:v>0</x:v>
      </x:c>
      <x:c r="F1031" s="177" t="str">
        <x:f>IF(ABS(E1031)&lt;0.000001,"PASS","FAIL")</x:f>
        <x:v>PASS</x:v>
      </x:c>
      <x:c r="G1031" s="177" t="str">
        <x:v>份额只乘一次</x:v>
      </x:c>
      <x:c r="H1031" s="184"/>
    </x:row>
    <x:row r="1032">
      <x:c r="A1032" s="177" t="str">
        <x:v>DYN-SPEC-Q-190</x:v>
      </x:c>
      <x:c r="B1032" s="177" t="str">
        <x:v>optimistic 2030 fauPrism 102.4T数量</x:v>
      </x:c>
      <x:c r="C1032" s="230" t="n">
        <x:f>'规格明细'!G190</x:f>
        <x:v>276479999.99999994</x:v>
      </x:c>
      <x:c r="D1032" s="230" t="n">
        <x:f>'规格明细'!D190*10000*'规格明细'!E190</x:f>
        <x:v>276479999.99999994</x:v>
      </x:c>
      <x:c r="E1032" s="230" t="n">
        <x:f>C1032-D1032</x:f>
        <x:v>0</x:v>
      </x:c>
      <x:c r="F1032" s="177" t="str">
        <x:f>IF(ABS(E1032)&lt;0.000001,"PASS","FAIL")</x:f>
        <x:v>PASS</x:v>
      </x:c>
      <x:c r="G1032" s="177" t="str">
        <x:v>出货量×单位用量</x:v>
      </x:c>
      <x:c r="H1032" s="184"/>
    </x:row>
    <x:row r="1033">
      <x:c r="A1033" s="177" t="str">
        <x:v>DYN-SPEC-TAM-190</x:v>
      </x:c>
      <x:c r="B1033" s="177" t="str">
        <x:v>optimistic 2030 fauPrism 102.4T空间</x:v>
      </x:c>
      <x:c r="C1033" s="230" t="n">
        <x:f>'规格明细'!K190</x:f>
        <x:v>22.7030335488</x:v>
      </x:c>
      <x:c r="D1033" s="230" t="n">
        <x:f>'规格明细'!G190*'规格明细'!I190/100000000</x:f>
        <x:v>22.7030335488</x:v>
      </x:c>
      <x:c r="E1033" s="230" t="n">
        <x:f>C1033-D1033</x:f>
        <x:v>0</x:v>
      </x:c>
      <x:c r="F1033" s="177" t="str">
        <x:f>IF(ABS(E1033)&lt;0.000001,"PASS","FAIL")</x:f>
        <x:v>PASS</x:v>
      </x:c>
      <x:c r="G1033" s="177" t="str">
        <x:v>组件数量×价格</x:v>
      </x:c>
      <x:c r="H1033" s="184"/>
    </x:row>
    <x:row r="1034">
      <x:c r="A1034" s="177" t="str">
        <x:v>DYN-SPEC-REV-190</x:v>
      </x:c>
      <x:c r="B1034" s="177" t="str">
        <x:v>optimistic 2030 fauPrism 102.4T理论收入</x:v>
      </x:c>
      <x:c r="C1034" s="230" t="n">
        <x:f>'规格明细'!L190</x:f>
        <x:v>10.21636509696</x:v>
      </x:c>
      <x:c r="D1034" s="230" t="n">
        <x:f>'规格明细'!K190*'规格明细'!J190</x:f>
        <x:v>10.21636509696</x:v>
      </x:c>
      <x:c r="E1034" s="230" t="n">
        <x:f>C1034-D1034</x:f>
        <x:v>0</x:v>
      </x:c>
      <x:c r="F1034" s="177" t="str">
        <x:f>IF(ABS(E1034)&lt;0.000001,"PASS","FAIL")</x:f>
        <x:v>PASS</x:v>
      </x:c>
      <x:c r="G1034" s="177" t="str">
        <x:v>份额只乘一次</x:v>
      </x:c>
      <x:c r="H1034" s="184"/>
    </x:row>
    <x:row r="1035">
      <x:c r="A1035" s="177" t="str">
        <x:v>DYN-SPEC-Q-191</x:v>
      </x:c>
      <x:c r="B1035" s="177" t="str">
        <x:v>optimistic 2030 fauPrism 204.8T数量</x:v>
      </x:c>
      <x:c r="C1035" s="230" t="n">
        <x:f>'规格明细'!G191</x:f>
        <x:v>2211840000</x:v>
      </x:c>
      <x:c r="D1035" s="230" t="n">
        <x:f>'规格明细'!D191*10000*'规格明细'!E191</x:f>
        <x:v>2211840000</x:v>
      </x:c>
      <x:c r="E1035" s="230" t="n">
        <x:f>C1035-D1035</x:f>
        <x:v>0</x:v>
      </x:c>
      <x:c r="F1035" s="177" t="str">
        <x:f>IF(ABS(E1035)&lt;0.000001,"PASS","FAIL")</x:f>
        <x:v>PASS</x:v>
      </x:c>
      <x:c r="G1035" s="177" t="str">
        <x:v>出货量×单位用量</x:v>
      </x:c>
      <x:c r="H1035" s="184"/>
    </x:row>
    <x:row r="1036">
      <x:c r="A1036" s="177" t="str">
        <x:v>DYN-SPEC-TAM-191</x:v>
      </x:c>
      <x:c r="B1036" s="177" t="str">
        <x:v>optimistic 2030 fauPrism 204.8T空间</x:v>
      </x:c>
      <x:c r="C1036" s="230" t="n">
        <x:f>'规格明细'!K191</x:f>
        <x:v>227.03033548800002</x:v>
      </x:c>
      <x:c r="D1036" s="230" t="n">
        <x:f>'规格明细'!G191*'规格明细'!I191/100000000</x:f>
        <x:v>227.03033548800002</x:v>
      </x:c>
      <x:c r="E1036" s="230" t="n">
        <x:f>C1036-D1036</x:f>
        <x:v>0</x:v>
      </x:c>
      <x:c r="F1036" s="177" t="str">
        <x:f>IF(ABS(E1036)&lt;0.000001,"PASS","FAIL")</x:f>
        <x:v>PASS</x:v>
      </x:c>
      <x:c r="G1036" s="177" t="str">
        <x:v>组件数量×价格</x:v>
      </x:c>
      <x:c r="H1036" s="184"/>
    </x:row>
    <x:row r="1037">
      <x:c r="A1037" s="177" t="str">
        <x:v>DYN-SPEC-REV-191</x:v>
      </x:c>
      <x:c r="B1037" s="177" t="str">
        <x:v>optimistic 2030 fauPrism 204.8T理论收入</x:v>
      </x:c>
      <x:c r="C1037" s="230" t="n">
        <x:f>'规格明细'!L191</x:f>
        <x:v>102.16365096960001</x:v>
      </x:c>
      <x:c r="D1037" s="230" t="n">
        <x:f>'规格明细'!K191*'规格明细'!J191</x:f>
        <x:v>102.16365096960001</x:v>
      </x:c>
      <x:c r="E1037" s="230" t="n">
        <x:f>C1037-D1037</x:f>
        <x:v>0</x:v>
      </x:c>
      <x:c r="F1037" s="177" t="str">
        <x:f>IF(ABS(E1037)&lt;0.000001,"PASS","FAIL")</x:f>
        <x:v>PASS</x:v>
      </x:c>
      <x:c r="G1037" s="177" t="str">
        <x:v>份额只乘一次</x:v>
      </x:c>
      <x:c r="H1037" s="184"/>
    </x:row>
    <x:row r="1038">
      <x:c r="A1038" s="177" t="str">
        <x:v>DYN-SPEC-Q-192</x:v>
      </x:c>
      <x:c r="B1038" s="177" t="str">
        <x:v>optimistic 2030 externalLaser 102.4T数量</x:v>
      </x:c>
      <x:c r="C1038" s="230" t="n">
        <x:f>'规格明细'!G192</x:f>
        <x:v>30719999.999999993</x:v>
      </x:c>
      <x:c r="D1038" s="230" t="n">
        <x:f>'规格明细'!D192*10000*'规格明细'!E192</x:f>
        <x:v>30719999.999999993</x:v>
      </x:c>
      <x:c r="E1038" s="230" t="n">
        <x:f>C1038-D1038</x:f>
        <x:v>0</x:v>
      </x:c>
      <x:c r="F1038" s="177" t="str">
        <x:f>IF(ABS(E1038)&lt;0.000001,"PASS","FAIL")</x:f>
        <x:v>PASS</x:v>
      </x:c>
      <x:c r="G1038" s="177" t="str">
        <x:v>出货量×单位用量</x:v>
      </x:c>
      <x:c r="H1038" s="184"/>
    </x:row>
    <x:row r="1039">
      <x:c r="A1039" s="177" t="str">
        <x:v>DYN-SPEC-TAM-192</x:v>
      </x:c>
      <x:c r="B1039" s="177" t="str">
        <x:v>optimistic 2030 externalLaser 102.4T空间</x:v>
      </x:c>
      <x:c r="C1039" s="230" t="n">
        <x:f>'规格明细'!K192</x:f>
        <x:v>12.612796415999998</x:v>
      </x:c>
      <x:c r="D1039" s="230" t="n">
        <x:f>'规格明细'!G192*'规格明细'!I192/100000000</x:f>
        <x:v>12.612796415999998</x:v>
      </x:c>
      <x:c r="E1039" s="230" t="n">
        <x:f>C1039-D1039</x:f>
        <x:v>0</x:v>
      </x:c>
      <x:c r="F1039" s="177" t="str">
        <x:f>IF(ABS(E1039)&lt;0.000001,"PASS","FAIL")</x:f>
        <x:v>PASS</x:v>
      </x:c>
      <x:c r="G1039" s="177" t="str">
        <x:v>组件数量×价格</x:v>
      </x:c>
      <x:c r="H1039" s="184"/>
    </x:row>
    <x:row r="1040">
      <x:c r="A1040" s="177" t="str">
        <x:v>DYN-SPEC-REV-192</x:v>
      </x:c>
      <x:c r="B1040" s="177" t="str">
        <x:v>optimistic 2030 externalLaser 102.4T理论收入</x:v>
      </x:c>
      <x:c r="C1040" s="230" t="n">
        <x:f>'规格明细'!L192</x:f>
        <x:v>5.54963042304</x:v>
      </x:c>
      <x:c r="D1040" s="230" t="n">
        <x:f>'规格明细'!K192*'规格明细'!J192</x:f>
        <x:v>5.54963042304</x:v>
      </x:c>
      <x:c r="E1040" s="230" t="n">
        <x:f>C1040-D1040</x:f>
        <x:v>0</x:v>
      </x:c>
      <x:c r="F1040" s="177" t="str">
        <x:f>IF(ABS(E1040)&lt;0.000001,"PASS","FAIL")</x:f>
        <x:v>PASS</x:v>
      </x:c>
      <x:c r="G1040" s="177" t="str">
        <x:v>份额只乘一次</x:v>
      </x:c>
      <x:c r="H1040" s="184"/>
    </x:row>
    <x:row r="1041">
      <x:c r="A1041" s="177" t="str">
        <x:v>DYN-SPEC-Q-193</x:v>
      </x:c>
      <x:c r="B1041" s="177" t="str">
        <x:v>optimistic 2030 externalLaser 204.8T数量</x:v>
      </x:c>
      <x:c r="C1041" s="230" t="n">
        <x:f>'规格明细'!G193</x:f>
        <x:v>122880000</x:v>
      </x:c>
      <x:c r="D1041" s="230" t="n">
        <x:f>'规格明细'!D193*10000*'规格明细'!E193</x:f>
        <x:v>122880000</x:v>
      </x:c>
      <x:c r="E1041" s="230" t="n">
        <x:f>C1041-D1041</x:f>
        <x:v>0</x:v>
      </x:c>
      <x:c r="F1041" s="177" t="str">
        <x:f>IF(ABS(E1041)&lt;0.000001,"PASS","FAIL")</x:f>
        <x:v>PASS</x:v>
      </x:c>
      <x:c r="G1041" s="177" t="str">
        <x:v>出货量×单位用量</x:v>
      </x:c>
      <x:c r="H1041" s="184"/>
    </x:row>
    <x:row r="1042">
      <x:c r="A1042" s="177" t="str">
        <x:v>DYN-SPEC-TAM-193</x:v>
      </x:c>
      <x:c r="B1042" s="177" t="str">
        <x:v>optimistic 2030 externalLaser 204.8T空间</x:v>
      </x:c>
      <x:c r="C1042" s="230" t="n">
        <x:f>'规格明细'!K193</x:f>
        <x:v>63.06398208</x:v>
      </x:c>
      <x:c r="D1042" s="230" t="n">
        <x:f>'规格明细'!G193*'规格明细'!I193/100000000</x:f>
        <x:v>63.06398208</x:v>
      </x:c>
      <x:c r="E1042" s="230" t="n">
        <x:f>C1042-D1042</x:f>
        <x:v>0</x:v>
      </x:c>
      <x:c r="F1042" s="177" t="str">
        <x:f>IF(ABS(E1042)&lt;0.000001,"PASS","FAIL")</x:f>
        <x:v>PASS</x:v>
      </x:c>
      <x:c r="G1042" s="177" t="str">
        <x:v>组件数量×价格</x:v>
      </x:c>
      <x:c r="H1042" s="184"/>
    </x:row>
    <x:row r="1043">
      <x:c r="A1043" s="177" t="str">
        <x:v>DYN-SPEC-REV-193</x:v>
      </x:c>
      <x:c r="B1043" s="177" t="str">
        <x:v>optimistic 2030 externalLaser 204.8T理论收入</x:v>
      </x:c>
      <x:c r="C1043" s="230" t="n">
        <x:f>'规格明细'!L193</x:f>
        <x:v>31.216671129600005</x:v>
      </x:c>
      <x:c r="D1043" s="230" t="n">
        <x:f>'规格明细'!K193*'规格明细'!J193</x:f>
        <x:v>31.216671129600005</x:v>
      </x:c>
      <x:c r="E1043" s="230" t="n">
        <x:f>C1043-D1043</x:f>
        <x:v>0</x:v>
      </x:c>
      <x:c r="F1043" s="177" t="str">
        <x:f>IF(ABS(E1043)&lt;0.000001,"PASS","FAIL")</x:f>
        <x:v>PASS</x:v>
      </x:c>
      <x:c r="G1043" s="177" t="str">
        <x:v>份额只乘一次</x:v>
      </x:c>
      <x:c r="H1043" s="184"/>
    </x:row>
    <x:row r="1044">
      <x:c r="A1044" s="177" t="str">
        <x:v>DYN-SPEC-Q-194</x:v>
      </x:c>
      <x:c r="B1044" s="177" t="str">
        <x:v>optimistic 2030 equipment 102.4T数量</x:v>
      </x:c>
      <x:c r="C1044" s="230" t="n">
        <x:f>'规格明细'!G194</x:f>
        <x:v>7679.999999999998</x:v>
      </x:c>
      <x:c r="D1044" s="230" t="n">
        <x:f>'规格明细'!D194*10000*'规格明细'!E194</x:f>
        <x:v>7679.999999999998</x:v>
      </x:c>
      <x:c r="E1044" s="230" t="n">
        <x:f>C1044-D1044</x:f>
        <x:v>0</x:v>
      </x:c>
      <x:c r="F1044" s="177" t="str">
        <x:f>IF(ABS(E1044)&lt;0.000001,"PASS","FAIL")</x:f>
        <x:v>PASS</x:v>
      </x:c>
      <x:c r="G1044" s="177" t="str">
        <x:v>出货量×单位用量</x:v>
      </x:c>
      <x:c r="H1044" s="184"/>
    </x:row>
    <x:row r="1045">
      <x:c r="A1045" s="177" t="str">
        <x:v>DYN-SPEC-TAM-194</x:v>
      </x:c>
      <x:c r="B1045" s="177" t="str">
        <x:v>optimistic 2030 equipment 102.4T空间</x:v>
      </x:c>
      <x:c r="C1045" s="230" t="n">
        <x:f>'规格明细'!K194</x:f>
        <x:v>5.406719999999999</x:v>
      </x:c>
      <x:c r="D1045" s="230" t="n">
        <x:f>'规格明细'!G194*'规格明细'!I194/100000000</x:f>
        <x:v>5.406719999999999</x:v>
      </x:c>
      <x:c r="E1045" s="230" t="n">
        <x:f>C1045-D1045</x:f>
        <x:v>0</x:v>
      </x:c>
      <x:c r="F1045" s="177" t="str">
        <x:f>IF(ABS(E1045)&lt;0.000001,"PASS","FAIL")</x:f>
        <x:v>PASS</x:v>
      </x:c>
      <x:c r="G1045" s="177" t="str">
        <x:v>组件数量×价格</x:v>
      </x:c>
      <x:c r="H1045" s="184"/>
    </x:row>
    <x:row r="1046">
      <x:c r="A1046" s="177" t="str">
        <x:v>DYN-SPEC-REV-194</x:v>
      </x:c>
      <x:c r="B1046" s="177" t="str">
        <x:v>optimistic 2030 equipment 102.4T理论收入</x:v>
      </x:c>
      <x:c r="C1046" s="230" t="n">
        <x:f>'规格明细'!L194</x:f>
        <x:v>3.2710656</x:v>
      </x:c>
      <x:c r="D1046" s="230" t="n">
        <x:f>'规格明细'!K194*'规格明细'!J194</x:f>
        <x:v>3.2710656</x:v>
      </x:c>
      <x:c r="E1046" s="230" t="n">
        <x:f>C1046-D1046</x:f>
        <x:v>0</x:v>
      </x:c>
      <x:c r="F1046" s="177" t="str">
        <x:f>IF(ABS(E1046)&lt;0.000001,"PASS","FAIL")</x:f>
        <x:v>PASS</x:v>
      </x:c>
      <x:c r="G1046" s="177" t="str">
        <x:v>份额只乘一次</x:v>
      </x:c>
      <x:c r="H1046" s="184"/>
    </x:row>
    <x:row r="1047">
      <x:c r="A1047" s="177" t="str">
        <x:v>DYN-SPEC-Q-195</x:v>
      </x:c>
      <x:c r="B1047" s="177" t="str">
        <x:v>optimistic 2030 equipment 204.8T数量</x:v>
      </x:c>
      <x:c r="C1047" s="230" t="n">
        <x:f>'规格明细'!G195</x:f>
        <x:v>30720</x:v>
      </x:c>
      <x:c r="D1047" s="230" t="n">
        <x:f>'规格明细'!D195*10000*'规格明细'!E195</x:f>
        <x:v>30720</x:v>
      </x:c>
      <x:c r="E1047" s="230" t="n">
        <x:f>C1047-D1047</x:f>
        <x:v>0</x:v>
      </x:c>
      <x:c r="F1047" s="177" t="str">
        <x:f>IF(ABS(E1047)&lt;0.000001,"PASS","FAIL")</x:f>
        <x:v>PASS</x:v>
      </x:c>
      <x:c r="G1047" s="177" t="str">
        <x:v>出货量×单位用量</x:v>
      </x:c>
      <x:c r="H1047" s="184"/>
    </x:row>
    <x:row r="1048">
      <x:c r="A1048" s="177" t="str">
        <x:v>DYN-SPEC-TAM-195</x:v>
      </x:c>
      <x:c r="B1048" s="177" t="str">
        <x:v>optimistic 2030 equipment 204.8T空间</x:v>
      </x:c>
      <x:c r="C1048" s="230" t="n">
        <x:f>'规格明细'!K195</x:f>
        <x:v>27.0336</x:v>
      </x:c>
      <x:c r="D1048" s="230" t="n">
        <x:f>'规格明细'!G195*'规格明细'!I195/100000000</x:f>
        <x:v>27.0336</x:v>
      </x:c>
      <x:c r="E1048" s="230" t="n">
        <x:f>C1048-D1048</x:f>
        <x:v>0</x:v>
      </x:c>
      <x:c r="F1048" s="177" t="str">
        <x:f>IF(ABS(E1048)&lt;0.000001,"PASS","FAIL")</x:f>
        <x:v>PASS</x:v>
      </x:c>
      <x:c r="G1048" s="177" t="str">
        <x:v>组件数量×价格</x:v>
      </x:c>
      <x:c r="H1048" s="184"/>
    </x:row>
    <x:row r="1049">
      <x:c r="A1049" s="177" t="str">
        <x:v>DYN-SPEC-REV-195</x:v>
      </x:c>
      <x:c r="B1049" s="177" t="str">
        <x:v>optimistic 2030 equipment 204.8T理论收入</x:v>
      </x:c>
      <x:c r="C1049" s="230" t="n">
        <x:f>'规格明细'!L195</x:f>
        <x:v>17.842176000000002</x:v>
      </x:c>
      <x:c r="D1049" s="230" t="n">
        <x:f>'规格明细'!K195*'规格明细'!J195</x:f>
        <x:v>17.842176000000002</x:v>
      </x:c>
      <x:c r="E1049" s="230" t="n">
        <x:f>C1049-D1049</x:f>
        <x:v>0</x:v>
      </x:c>
      <x:c r="F1049" s="177" t="str">
        <x:f>IF(ABS(E1049)&lt;0.000001,"PASS","FAIL")</x:f>
        <x:v>PASS</x:v>
      </x:c>
      <x:c r="G1049" s="177" t="str">
        <x:v>份额只乘一次</x:v>
      </x:c>
      <x:c r="H1049" s="184"/>
    </x:row>
    <x:row r="1050">
      <x:c r="A1050" s="177" t="str">
        <x:v>DYN-OE-REAL-26</x:v>
      </x:c>
      <x:c r="B1050" s="177" t="str">
        <x:v>cautious 2026 pluggable-800g兑现</x:v>
      </x:c>
      <x:c r="C1050" s="230" t="n">
        <x:f>'光引擎参考'!K26</x:f>
        <x:v>0.53312</x:v>
      </x:c>
      <x:c r="D1050" s="230" t="n">
        <x:f>'光引擎参考'!I26*'光引擎参考'!J26</x:f>
        <x:v>0.53312</x:v>
      </x:c>
      <x:c r="E1050" s="230" t="n">
        <x:f>C1050-D1050</x:f>
        <x:v>0</x:v>
      </x:c>
      <x:c r="F1050" s="177" t="str">
        <x:f>IF(ABS(E1050)&lt;0.000001,"PASS","FAIL")</x:f>
        <x:v>PASS</x:v>
      </x:c>
      <x:c r="G1050" s="177" t="str">
        <x:v>参考模型不并入公司收入</x:v>
      </x:c>
      <x:c r="H1050" s="184"/>
    </x:row>
    <x:row r="1051">
      <x:c r="A1051" s="177" t="str">
        <x:v>DYN-OE-REAL-27</x:v>
      </x:c>
      <x:c r="B1051" s="177" t="str">
        <x:v>cautious 2026 pluggable-1p6t兑现</x:v>
      </x:c>
      <x:c r="C1051" s="230" t="n">
        <x:f>'光引擎参考'!K27</x:f>
        <x:v>0.2505664</x:v>
      </x:c>
      <x:c r="D1051" s="230" t="n">
        <x:f>'光引擎参考'!I27*'光引擎参考'!J27</x:f>
        <x:v>0.2505664</x:v>
      </x:c>
      <x:c r="E1051" s="230" t="n">
        <x:f>C1051-D1051</x:f>
        <x:v>0</x:v>
      </x:c>
      <x:c r="F1051" s="177" t="str">
        <x:f>IF(ABS(E1051)&lt;0.000001,"PASS","FAIL")</x:f>
        <x:v>PASS</x:v>
      </x:c>
      <x:c r="G1051" s="177" t="str">
        <x:v>参考模型不并入公司收入</x:v>
      </x:c>
      <x:c r="H1051" s="184"/>
    </x:row>
    <x:row r="1052">
      <x:c r="A1052" s="177" t="str">
        <x:v>DYN-OE-REAL-28</x:v>
      </x:c>
      <x:c r="B1052" s="177" t="str">
        <x:v>cautious 2026 ocs兑现</x:v>
      </x:c>
      <x:c r="C1052" s="230" t="n">
        <x:f>'光引擎参考'!K28</x:f>
        <x:v>0.87612</x:v>
      </x:c>
      <x:c r="D1052" s="230" t="n">
        <x:f>'光引擎参考'!I28*'光引擎参考'!J28</x:f>
        <x:v>0.87612</x:v>
      </x:c>
      <x:c r="E1052" s="230" t="n">
        <x:f>C1052-D1052</x:f>
        <x:v>0</x:v>
      </x:c>
      <x:c r="F1052" s="177" t="str">
        <x:f>IF(ABS(E1052)&lt;0.000001,"PASS","FAIL")</x:f>
        <x:v>PASS</x:v>
      </x:c>
      <x:c r="G1052" s="177" t="str">
        <x:v>参考模型不并入公司收入</x:v>
      </x:c>
      <x:c r="H1052" s="184"/>
    </x:row>
    <x:row r="1053">
      <x:c r="A1053" s="177" t="str">
        <x:v>DYN-OE-REAL-29</x:v>
      </x:c>
      <x:c r="B1053" s="177" t="str">
        <x:v>cautious 2026 vGroove兑现</x:v>
      </x:c>
      <x:c r="C1053" s="230" t="n">
        <x:f>'光引擎参考'!K29</x:f>
        <x:v>0.34546176</x:v>
      </x:c>
      <x:c r="D1053" s="230" t="n">
        <x:f>'光引擎参考'!I29*'光引擎参考'!J29</x:f>
        <x:v>0.34546176</x:v>
      </x:c>
      <x:c r="E1053" s="230" t="n">
        <x:f>C1053-D1053</x:f>
        <x:v>0</x:v>
      </x:c>
      <x:c r="F1053" s="177" t="str">
        <x:f>IF(ABS(E1053)&lt;0.000001,"PASS","FAIL")</x:f>
        <x:v>PASS</x:v>
      </x:c>
      <x:c r="G1053" s="177" t="str">
        <x:v>参考模型不并入公司收入</x:v>
      </x:c>
      <x:c r="H1053" s="184"/>
    </x:row>
    <x:row r="1054">
      <x:c r="A1054" s="177" t="str">
        <x:v>DYN-OE-REAL-30</x:v>
      </x:c>
      <x:c r="B1054" s="177" t="str">
        <x:v>cautious 2026 fauPrism兑现</x:v>
      </x:c>
      <x:c r="C1054" s="230" t="n">
        <x:f>'光引擎参考'!K30</x:f>
        <x:v>0.5640192</x:v>
      </x:c>
      <x:c r="D1054" s="230" t="n">
        <x:f>'光引擎参考'!I30*'光引擎参考'!J30</x:f>
        <x:v>0.5640192</x:v>
      </x:c>
      <x:c r="E1054" s="230" t="n">
        <x:f>C1054-D1054</x:f>
        <x:v>0</x:v>
      </x:c>
      <x:c r="F1054" s="177" t="str">
        <x:f>IF(ABS(E1054)&lt;0.000001,"PASS","FAIL")</x:f>
        <x:v>PASS</x:v>
      </x:c>
      <x:c r="G1054" s="177" t="str">
        <x:v>参考模型不并入公司收入</x:v>
      </x:c>
      <x:c r="H1054" s="184"/>
    </x:row>
    <x:row r="1055">
      <x:c r="A1055" s="177" t="str">
        <x:v>DYN-OE-REAL-31</x:v>
      </x:c>
      <x:c r="B1055" s="177" t="str">
        <x:v>cautious 2026 externalLaser兑现</x:v>
      </x:c>
      <x:c r="C1055" s="230" t="n">
        <x:f>'光引擎参考'!K31</x:f>
        <x:v>0.27417600000000003</x:v>
      </x:c>
      <x:c r="D1055" s="230" t="n">
        <x:f>'光引擎参考'!I31*'光引擎参考'!J31</x:f>
        <x:v>0.27417600000000003</x:v>
      </x:c>
      <x:c r="E1055" s="230" t="n">
        <x:f>C1055-D1055</x:f>
        <x:v>0</x:v>
      </x:c>
      <x:c r="F1055" s="177" t="str">
        <x:f>IF(ABS(E1055)&lt;0.000001,"PASS","FAIL")</x:f>
        <x:v>PASS</x:v>
      </x:c>
      <x:c r="G1055" s="177" t="str">
        <x:v>参考模型不并入公司收入</x:v>
      </x:c>
      <x:c r="H1055" s="184"/>
    </x:row>
    <x:row r="1056">
      <x:c r="A1056" s="177" t="str">
        <x:v>DYN-OE-REAL-32</x:v>
      </x:c>
      <x:c r="B1056" s="177" t="str">
        <x:v>cautious 2026 equipment兑现</x:v>
      </x:c>
      <x:c r="C1056" s="230" t="n">
        <x:f>'光引擎参考'!K32</x:f>
        <x:v>0</x:v>
      </x:c>
      <x:c r="D1056" s="230" t="n">
        <x:f>'光引擎参考'!I32*'光引擎参考'!J32</x:f>
        <x:v>0</x:v>
      </x:c>
      <x:c r="E1056" s="230" t="n">
        <x:f>C1056-D1056</x:f>
        <x:v>0</x:v>
      </x:c>
      <x:c r="F1056" s="177" t="str">
        <x:f>IF(ABS(E1056)&lt;0.000001,"PASS","FAIL")</x:f>
        <x:v>PASS</x:v>
      </x:c>
      <x:c r="G1056" s="177" t="str">
        <x:v>参考模型不并入公司收入</x:v>
      </x:c>
      <x:c r="H1056" s="184"/>
    </x:row>
    <x:row r="1057">
      <x:c r="A1057" s="177" t="str">
        <x:v>DYN-OE-REAL-34</x:v>
      </x:c>
      <x:c r="B1057" s="177" t="str">
        <x:v>cautious 2027 pluggable-800g兑现</x:v>
      </x:c>
      <x:c r="C1057" s="230" t="n">
        <x:f>'光引擎参考'!K34</x:f>
        <x:v>1.5973199999999999</x:v>
      </x:c>
      <x:c r="D1057" s="230" t="n">
        <x:f>'光引擎参考'!I34*'光引擎参考'!J34</x:f>
        <x:v>1.5973199999999999</x:v>
      </x:c>
      <x:c r="E1057" s="230" t="n">
        <x:f>C1057-D1057</x:f>
        <x:v>0</x:v>
      </x:c>
      <x:c r="F1057" s="177" t="str">
        <x:f>IF(ABS(E1057)&lt;0.000001,"PASS","FAIL")</x:f>
        <x:v>PASS</x:v>
      </x:c>
      <x:c r="G1057" s="177" t="str">
        <x:v>参考模型不并入公司收入</x:v>
      </x:c>
      <x:c r="H1057" s="184"/>
    </x:row>
    <x:row r="1058">
      <x:c r="A1058" s="177" t="str">
        <x:v>DYN-OE-REAL-35</x:v>
      </x:c>
      <x:c r="B1058" s="177" t="str">
        <x:v>cautious 2027 pluggable-1p6t兑现</x:v>
      </x:c>
      <x:c r="C1058" s="230" t="n">
        <x:f>'光引擎参考'!K35</x:f>
        <x:v>1.9740672</x:v>
      </x:c>
      <x:c r="D1058" s="230" t="n">
        <x:f>'光引擎参考'!I35*'光引擎参考'!J35</x:f>
        <x:v>1.9740672</x:v>
      </x:c>
      <x:c r="E1058" s="230" t="n">
        <x:f>C1058-D1058</x:f>
        <x:v>0</x:v>
      </x:c>
      <x:c r="F1058" s="177" t="str">
        <x:f>IF(ABS(E1058)&lt;0.000001,"PASS","FAIL")</x:f>
        <x:v>PASS</x:v>
      </x:c>
      <x:c r="G1058" s="177" t="str">
        <x:v>参考模型不并入公司收入</x:v>
      </x:c>
      <x:c r="H1058" s="184"/>
    </x:row>
    <x:row r="1059">
      <x:c r="A1059" s="177" t="str">
        <x:v>DYN-OE-REAL-36</x:v>
      </x:c>
      <x:c r="B1059" s="177" t="str">
        <x:v>cautious 2027 ocs兑现</x:v>
      </x:c>
      <x:c r="C1059" s="230" t="n">
        <x:f>'光引擎参考'!K36</x:f>
        <x:v>5.330261333333333</x:v>
      </x:c>
      <x:c r="D1059" s="230" t="n">
        <x:f>'光引擎参考'!I36*'光引擎参考'!J36</x:f>
        <x:v>5.330261333333333</x:v>
      </x:c>
      <x:c r="E1059" s="230" t="n">
        <x:f>C1059-D1059</x:f>
        <x:v>0</x:v>
      </x:c>
      <x:c r="F1059" s="177" t="str">
        <x:f>IF(ABS(E1059)&lt;0.000001,"PASS","FAIL")</x:f>
        <x:v>PASS</x:v>
      </x:c>
      <x:c r="G1059" s="177" t="str">
        <x:v>参考模型不并入公司收入</x:v>
      </x:c>
      <x:c r="H1059" s="184"/>
    </x:row>
    <x:row r="1060">
      <x:c r="A1060" s="177" t="str">
        <x:v>DYN-OE-REAL-37</x:v>
      </x:c>
      <x:c r="B1060" s="177" t="str">
        <x:v>cautious 2027 vGroove兑现</x:v>
      </x:c>
      <x:c r="C1060" s="230" t="n">
        <x:f>'光引擎参考'!K37</x:f>
        <x:v>2.7295744</x:v>
      </x:c>
      <x:c r="D1060" s="230" t="n">
        <x:f>'光引擎参考'!I37*'光引擎参考'!J37</x:f>
        <x:v>2.7295744</x:v>
      </x:c>
      <x:c r="E1060" s="230" t="n">
        <x:f>C1060-D1060</x:f>
        <x:v>0</x:v>
      </x:c>
      <x:c r="F1060" s="177" t="str">
        <x:f>IF(ABS(E1060)&lt;0.000001,"PASS","FAIL")</x:f>
        <x:v>PASS</x:v>
      </x:c>
      <x:c r="G1060" s="177" t="str">
        <x:v>参考模型不并入公司收入</x:v>
      </x:c>
      <x:c r="H1060" s="184"/>
    </x:row>
    <x:row r="1061">
      <x:c r="A1061" s="177" t="str">
        <x:v>DYN-OE-REAL-38</x:v>
      </x:c>
      <x:c r="B1061" s="177" t="str">
        <x:v>cautious 2027 fauPrism兑现</x:v>
      </x:c>
      <x:c r="C1061" s="230" t="n">
        <x:f>'光引擎参考'!K38</x:f>
        <x:v>3.9481344</x:v>
      </x:c>
      <x:c r="D1061" s="230" t="n">
        <x:f>'光引擎参考'!I38*'光引擎参考'!J38</x:f>
        <x:v>3.9481344</x:v>
      </x:c>
      <x:c r="E1061" s="230" t="n">
        <x:f>C1061-D1061</x:f>
        <x:v>0</x:v>
      </x:c>
      <x:c r="F1061" s="177" t="str">
        <x:f>IF(ABS(E1061)&lt;0.000001,"PASS","FAIL")</x:f>
        <x:v>PASS</x:v>
      </x:c>
      <x:c r="G1061" s="177" t="str">
        <x:v>参考模型不并入公司收入</x:v>
      </x:c>
      <x:c r="H1061" s="184"/>
    </x:row>
    <x:row r="1062">
      <x:c r="A1062" s="177" t="str">
        <x:v>DYN-OE-REAL-39</x:v>
      </x:c>
      <x:c r="B1062" s="177" t="str">
        <x:v>cautious 2027 externalLaser兑现</x:v>
      </x:c>
      <x:c r="C1062" s="230" t="n">
        <x:f>'光引擎参考'!K39</x:f>
        <x:v>1.949696</x:v>
      </x:c>
      <x:c r="D1062" s="230" t="n">
        <x:f>'光引擎参考'!I39*'光引擎参考'!J39</x:f>
        <x:v>1.949696</x:v>
      </x:c>
      <x:c r="E1062" s="230" t="n">
        <x:f>C1062-D1062</x:f>
        <x:v>0</x:v>
      </x:c>
      <x:c r="F1062" s="177" t="str">
        <x:f>IF(ABS(E1062)&lt;0.000001,"PASS","FAIL")</x:f>
        <x:v>PASS</x:v>
      </x:c>
      <x:c r="G1062" s="177" t="str">
        <x:v>参考模型不并入公司收入</x:v>
      </x:c>
      <x:c r="H1062" s="184"/>
    </x:row>
    <x:row r="1063">
      <x:c r="A1063" s="177" t="str">
        <x:v>DYN-OE-REAL-40</x:v>
      </x:c>
      <x:c r="B1063" s="177" t="str">
        <x:v>cautious 2027 equipment兑现</x:v>
      </x:c>
      <x:c r="C1063" s="230" t="n">
        <x:f>'光引擎参考'!K40</x:f>
        <x:v>0.29013333333333335</x:v>
      </x:c>
      <x:c r="D1063" s="230" t="n">
        <x:f>'光引擎参考'!I40*'光引擎参考'!J40</x:f>
        <x:v>0.29013333333333335</x:v>
      </x:c>
      <x:c r="E1063" s="230" t="n">
        <x:f>C1063-D1063</x:f>
        <x:v>0</x:v>
      </x:c>
      <x:c r="F1063" s="177" t="str">
        <x:f>IF(ABS(E1063)&lt;0.000001,"PASS","FAIL")</x:f>
        <x:v>PASS</x:v>
      </x:c>
      <x:c r="G1063" s="177" t="str">
        <x:v>参考模型不并入公司收入</x:v>
      </x:c>
      <x:c r="H1063" s="184"/>
    </x:row>
    <x:row r="1064">
      <x:c r="A1064" s="177" t="str">
        <x:v>DYN-OE-REAL-42</x:v>
      </x:c>
      <x:c r="B1064" s="177" t="str">
        <x:v>cautious 2028 pluggable-800g兑现</x:v>
      </x:c>
      <x:c r="C1064" s="230" t="n">
        <x:f>'光引擎参考'!K42</x:f>
        <x:v>1.053405</x:v>
      </x:c>
      <x:c r="D1064" s="230" t="n">
        <x:f>'光引擎参考'!I42*'光引擎参考'!J42</x:f>
        <x:v>1.053405</x:v>
      </x:c>
      <x:c r="E1064" s="230" t="n">
        <x:f>C1064-D1064</x:f>
        <x:v>0</x:v>
      </x:c>
      <x:c r="F1064" s="177" t="str">
        <x:f>IF(ABS(E1064)&lt;0.000001,"PASS","FAIL")</x:f>
        <x:v>PASS</x:v>
      </x:c>
      <x:c r="G1064" s="177" t="str">
        <x:v>参考模型不并入公司收入</x:v>
      </x:c>
      <x:c r="H1064" s="184"/>
    </x:row>
    <x:row r="1065">
      <x:c r="A1065" s="177" t="str">
        <x:v>DYN-OE-REAL-43</x:v>
      </x:c>
      <x:c r="B1065" s="177" t="str">
        <x:v>cautious 2028 pluggable-1p6t兑现</x:v>
      </x:c>
      <x:c r="C1065" s="230" t="n">
        <x:f>'光引擎参考'!K43</x:f>
        <x:v>3.0970107000000007</x:v>
      </x:c>
      <x:c r="D1065" s="230" t="n">
        <x:f>'光引擎参考'!I43*'光引擎参考'!J43</x:f>
        <x:v>3.0970107000000007</x:v>
      </x:c>
      <x:c r="E1065" s="230" t="n">
        <x:f>C1065-D1065</x:f>
        <x:v>0</x:v>
      </x:c>
      <x:c r="F1065" s="177" t="str">
        <x:f>IF(ABS(E1065)&lt;0.000001,"PASS","FAIL")</x:f>
        <x:v>PASS</x:v>
      </x:c>
      <x:c r="G1065" s="177" t="str">
        <x:v>参考模型不并入公司收入</x:v>
      </x:c>
      <x:c r="H1065" s="184"/>
    </x:row>
    <x:row r="1066">
      <x:c r="A1066" s="177" t="str">
        <x:v>DYN-OE-REAL-44</x:v>
      </x:c>
      <x:c r="B1066" s="177" t="str">
        <x:v>cautious 2028 ocs兑现</x:v>
      </x:c>
      <x:c r="C1066" s="230" t="n">
        <x:f>'光引擎参考'!K44</x:f>
        <x:v>10.14294528</x:v>
      </x:c>
      <x:c r="D1066" s="230" t="n">
        <x:f>'光引擎参考'!I44*'光引擎参考'!J44</x:f>
        <x:v>10.14294528</x:v>
      </x:c>
      <x:c r="E1066" s="230" t="n">
        <x:f>C1066-D1066</x:f>
        <x:v>0</x:v>
      </x:c>
      <x:c r="F1066" s="177" t="str">
        <x:f>IF(ABS(E1066)&lt;0.000001,"PASS","FAIL")</x:f>
        <x:v>PASS</x:v>
      </x:c>
      <x:c r="G1066" s="177" t="str">
        <x:v>参考模型不并入公司收入</x:v>
      </x:c>
      <x:c r="H1066" s="184"/>
    </x:row>
    <x:row r="1067">
      <x:c r="A1067" s="177" t="str">
        <x:v>DYN-OE-REAL-45</x:v>
      </x:c>
      <x:c r="B1067" s="177" t="str">
        <x:v>cautious 2028 vGroove兑现</x:v>
      </x:c>
      <x:c r="C1067" s="230" t="n">
        <x:f>'光引擎参考'!K45</x:f>
        <x:v>8.815315525632</x:v>
      </x:c>
      <x:c r="D1067" s="230" t="n">
        <x:f>'光引擎参考'!I45*'光引擎参考'!J45</x:f>
        <x:v>8.815315525632</x:v>
      </x:c>
      <x:c r="E1067" s="230" t="n">
        <x:f>C1067-D1067</x:f>
        <x:v>0</x:v>
      </x:c>
      <x:c r="F1067" s="177" t="str">
        <x:f>IF(ABS(E1067)&lt;0.000001,"PASS","FAIL")</x:f>
        <x:v>PASS</x:v>
      </x:c>
      <x:c r="G1067" s="177" t="str">
        <x:v>参考模型不并入公司收入</x:v>
      </x:c>
      <x:c r="H1067" s="184"/>
    </x:row>
    <x:row r="1068">
      <x:c r="A1068" s="177" t="str">
        <x:v>DYN-OE-REAL-46</x:v>
      </x:c>
      <x:c r="B1068" s="177" t="str">
        <x:v>cautious 2028 fauPrism兑现</x:v>
      </x:c>
      <x:c r="C1068" s="230" t="n">
        <x:f>'光引擎参考'!K46</x:f>
        <x:v>12.121900646400002</x:v>
      </x:c>
      <x:c r="D1068" s="230" t="n">
        <x:f>'光引擎参考'!I46*'光引擎参考'!J46</x:f>
        <x:v>12.121900646400002</x:v>
      </x:c>
      <x:c r="E1068" s="230" t="n">
        <x:f>C1068-D1068</x:f>
        <x:v>0</x:v>
      </x:c>
      <x:c r="F1068" s="177" t="str">
        <x:f>IF(ABS(E1068)&lt;0.000001,"PASS","FAIL")</x:f>
        <x:v>PASS</x:v>
      </x:c>
      <x:c r="G1068" s="177" t="str">
        <x:v>参考模型不并入公司收入</x:v>
      </x:c>
      <x:c r="H1068" s="184"/>
    </x:row>
    <x:row r="1069">
      <x:c r="A1069" s="177" t="str">
        <x:v>DYN-OE-REAL-47</x:v>
      </x:c>
      <x:c r="B1069" s="177" t="str">
        <x:v>cautious 2028 externalLaser兑现</x:v>
      </x:c>
      <x:c r="C1069" s="230" t="n">
        <x:f>'光引擎参考'!K47</x:f>
        <x:v>5.5122223104</x:v>
      </x:c>
      <x:c r="D1069" s="230" t="n">
        <x:f>'光引擎参考'!I47*'光引擎参考'!J47</x:f>
        <x:v>5.5122223104</x:v>
      </x:c>
      <x:c r="E1069" s="230" t="n">
        <x:f>C1069-D1069</x:f>
        <x:v>0</x:v>
      </x:c>
      <x:c r="F1069" s="177" t="str">
        <x:f>IF(ABS(E1069)&lt;0.000001,"PASS","FAIL")</x:f>
        <x:v>PASS</x:v>
      </x:c>
      <x:c r="G1069" s="177" t="str">
        <x:v>参考模型不并入公司收入</x:v>
      </x:c>
      <x:c r="H1069" s="184"/>
    </x:row>
    <x:row r="1070">
      <x:c r="A1070" s="177" t="str">
        <x:v>DYN-OE-REAL-48</x:v>
      </x:c>
      <x:c r="B1070" s="177" t="str">
        <x:v>cautious 2028 equipment兑现</x:v>
      </x:c>
      <x:c r="C1070" s="230" t="n">
        <x:f>'光引擎参考'!K48</x:f>
        <x:v>1.7391326399999998</x:v>
      </x:c>
      <x:c r="D1070" s="230" t="n">
        <x:f>'光引擎参考'!I48*'光引擎参考'!J48</x:f>
        <x:v>1.7391326399999998</x:v>
      </x:c>
      <x:c r="E1070" s="230" t="n">
        <x:f>C1070-D1070</x:f>
        <x:v>0</x:v>
      </x:c>
      <x:c r="F1070" s="177" t="str">
        <x:f>IF(ABS(E1070)&lt;0.000001,"PASS","FAIL")</x:f>
        <x:v>PASS</x:v>
      </x:c>
      <x:c r="G1070" s="177" t="str">
        <x:v>参考模型不并入公司收入</x:v>
      </x:c>
      <x:c r="H1070" s="184"/>
    </x:row>
    <x:row r="1071">
      <x:c r="A1071" s="177" t="str">
        <x:v>DYN-OE-REAL-50</x:v>
      </x:c>
      <x:c r="B1071" s="177" t="str">
        <x:v>cautious 2029 pluggable-800g兑现</x:v>
      </x:c>
      <x:c r="C1071" s="230" t="n">
        <x:f>'光引擎参考'!K50</x:f>
        <x:v>0.6424531200000001</x:v>
      </x:c>
      <x:c r="D1071" s="230" t="n">
        <x:f>'光引擎参考'!I50*'光引擎参考'!J50</x:f>
        <x:v>0.6424531200000001</x:v>
      </x:c>
      <x:c r="E1071" s="230" t="n">
        <x:f>C1071-D1071</x:f>
        <x:v>0</x:v>
      </x:c>
      <x:c r="F1071" s="177" t="str">
        <x:f>IF(ABS(E1071)&lt;0.000001,"PASS","FAIL")</x:f>
        <x:v>PASS</x:v>
      </x:c>
      <x:c r="G1071" s="177" t="str">
        <x:v>参考模型不并入公司收入</x:v>
      </x:c>
      <x:c r="H1071" s="184"/>
    </x:row>
    <x:row r="1072">
      <x:c r="A1072" s="177" t="str">
        <x:v>DYN-OE-REAL-51</x:v>
      </x:c>
      <x:c r="B1072" s="177" t="str">
        <x:v>cautious 2029 pluggable-1p6t兑现</x:v>
      </x:c>
      <x:c r="C1072" s="230" t="n">
        <x:f>'光引擎参考'!K51</x:f>
        <x:v>4.07556198</x:v>
      </x:c>
      <x:c r="D1072" s="230" t="n">
        <x:f>'光引擎参考'!I51*'光引擎参考'!J51</x:f>
        <x:v>4.07556198</x:v>
      </x:c>
      <x:c r="E1072" s="230" t="n">
        <x:f>C1072-D1072</x:f>
        <x:v>0</x:v>
      </x:c>
      <x:c r="F1072" s="177" t="str">
        <x:f>IF(ABS(E1072)&lt;0.000001,"PASS","FAIL")</x:f>
        <x:v>PASS</x:v>
      </x:c>
      <x:c r="G1072" s="177" t="str">
        <x:v>参考模型不并入公司收入</x:v>
      </x:c>
      <x:c r="H1072" s="184"/>
    </x:row>
    <x:row r="1073">
      <x:c r="A1073" s="177" t="str">
        <x:v>DYN-OE-REAL-52</x:v>
      </x:c>
      <x:c r="B1073" s="177" t="str">
        <x:v>cautious 2029 ocs兑现</x:v>
      </x:c>
      <x:c r="C1073" s="230" t="n">
        <x:f>'光引擎参考'!K52</x:f>
        <x:v>15.3790119936</x:v>
      </x:c>
      <x:c r="D1073" s="230" t="n">
        <x:f>'光引擎参考'!I52*'光引擎参考'!J52</x:f>
        <x:v>15.3790119936</x:v>
      </x:c>
      <x:c r="E1073" s="230" t="n">
        <x:f>C1073-D1073</x:f>
        <x:v>0</x:v>
      </x:c>
      <x:c r="F1073" s="177" t="str">
        <x:f>IF(ABS(E1073)&lt;0.000001,"PASS","FAIL")</x:f>
        <x:v>PASS</x:v>
      </x:c>
      <x:c r="G1073" s="177" t="str">
        <x:v>参考模型不并入公司收入</x:v>
      </x:c>
      <x:c r="H1073" s="184"/>
    </x:row>
    <x:row r="1074">
      <x:c r="A1074" s="177" t="str">
        <x:v>DYN-OE-REAL-53</x:v>
      </x:c>
      <x:c r="B1074" s="177" t="str">
        <x:v>cautious 2029 vGroove兑现</x:v>
      </x:c>
      <x:c r="C1074" s="230" t="n">
        <x:f>'光引擎参考'!K53</x:f>
        <x:v>29.303811558604806</x:v>
      </x:c>
      <x:c r="D1074" s="230" t="n">
        <x:f>'光引擎参考'!I53*'光引擎参考'!J53</x:f>
        <x:v>29.303811558604806</x:v>
      </x:c>
      <x:c r="E1074" s="230" t="n">
        <x:f>C1074-D1074</x:f>
        <x:v>0</x:v>
      </x:c>
      <x:c r="F1074" s="177" t="str">
        <x:f>IF(ABS(E1074)&lt;0.000001,"PASS","FAIL")</x:f>
        <x:v>PASS</x:v>
      </x:c>
      <x:c r="G1074" s="177" t="str">
        <x:v>参考模型不并入公司收入</x:v>
      </x:c>
      <x:c r="H1074" s="184"/>
    </x:row>
    <x:row r="1075">
      <x:c r="A1075" s="177" t="str">
        <x:v>DYN-OE-REAL-54</x:v>
      </x:c>
      <x:c r="B1075" s="177" t="str">
        <x:v>cautious 2029 fauPrism兑现</x:v>
      </x:c>
      <x:c r="C1075" s="230" t="n">
        <x:f>'光引擎参考'!K54</x:f>
        <x:v>34.88548995072001</x:v>
      </x:c>
      <x:c r="D1075" s="230" t="n">
        <x:f>'光引擎参考'!I54*'光引擎参考'!J54</x:f>
        <x:v>34.88548995072001</x:v>
      </x:c>
      <x:c r="E1075" s="230" t="n">
        <x:f>C1075-D1075</x:f>
        <x:v>0</x:v>
      </x:c>
      <x:c r="F1075" s="177" t="str">
        <x:f>IF(ABS(E1075)&lt;0.000001,"PASS","FAIL")</x:f>
        <x:v>PASS</x:v>
      </x:c>
      <x:c r="G1075" s="177" t="str">
        <x:v>参考模型不并入公司收入</x:v>
      </x:c>
      <x:c r="H1075" s="184"/>
    </x:row>
    <x:row r="1076">
      <x:c r="A1076" s="177" t="str">
        <x:v>DYN-OE-REAL-55</x:v>
      </x:c>
      <x:c r="B1076" s="177" t="str">
        <x:v>cautious 2029 externalLaser兑现</x:v>
      </x:c>
      <x:c r="C1076" s="230" t="n">
        <x:f>'光引擎参考'!K55</x:f>
        <x:v>16.150689792000005</x:v>
      </x:c>
      <x:c r="D1076" s="230" t="n">
        <x:f>'光引擎参考'!I55*'光引擎参考'!J55</x:f>
        <x:v>16.150689792000005</x:v>
      </x:c>
      <x:c r="E1076" s="230" t="n">
        <x:f>C1076-D1076</x:f>
        <x:v>0</x:v>
      </x:c>
      <x:c r="F1076" s="177" t="str">
        <x:f>IF(ABS(E1076)&lt;0.000001,"PASS","FAIL")</x:f>
        <x:v>PASS</x:v>
      </x:c>
      <x:c r="G1076" s="177" t="str">
        <x:v>参考模型不并入公司收入</x:v>
      </x:c>
      <x:c r="H1076" s="184"/>
    </x:row>
    <x:row r="1077">
      <x:c r="A1077" s="177" t="str">
        <x:v>DYN-OE-REAL-56</x:v>
      </x:c>
      <x:c r="B1077" s="177" t="str">
        <x:v>cautious 2029 equipment兑现</x:v>
      </x:c>
      <x:c r="C1077" s="230" t="n">
        <x:f>'光引擎参考'!K56</x:f>
        <x:v>6.542524799999999</x:v>
      </x:c>
      <x:c r="D1077" s="230" t="n">
        <x:f>'光引擎参考'!I56*'光引擎参考'!J56</x:f>
        <x:v>6.542524799999999</x:v>
      </x:c>
      <x:c r="E1077" s="230" t="n">
        <x:f>C1077-D1077</x:f>
        <x:v>0</x:v>
      </x:c>
      <x:c r="F1077" s="177" t="str">
        <x:f>IF(ABS(E1077)&lt;0.000001,"PASS","FAIL")</x:f>
        <x:v>PASS</x:v>
      </x:c>
      <x:c r="G1077" s="177" t="str">
        <x:v>参考模型不并入公司收入</x:v>
      </x:c>
      <x:c r="H1077" s="184"/>
    </x:row>
    <x:row r="1078">
      <x:c r="A1078" s="177" t="str">
        <x:v>DYN-OE-REAL-58</x:v>
      </x:c>
      <x:c r="B1078" s="177" t="str">
        <x:v>cautious 2030 pluggable-800g兑现</x:v>
      </x:c>
      <x:c r="C1078" s="230" t="n">
        <x:f>'光引擎参考'!K58</x:f>
        <x:v>0.32524189200000003</x:v>
      </x:c>
      <x:c r="D1078" s="230" t="n">
        <x:f>'光引擎参考'!I58*'光引擎参考'!J58</x:f>
        <x:v>0.32524189200000003</x:v>
      </x:c>
      <x:c r="E1078" s="230" t="n">
        <x:f>C1078-D1078</x:f>
        <x:v>0</x:v>
      </x:c>
      <x:c r="F1078" s="177" t="str">
        <x:f>IF(ABS(E1078)&lt;0.000001,"PASS","FAIL")</x:f>
        <x:v>PASS</x:v>
      </x:c>
      <x:c r="G1078" s="177" t="str">
        <x:v>参考模型不并入公司收入</x:v>
      </x:c>
      <x:c r="H1078" s="184"/>
    </x:row>
    <x:row r="1079">
      <x:c r="A1079" s="177" t="str">
        <x:v>DYN-OE-REAL-59</x:v>
      </x:c>
      <x:c r="B1079" s="177" t="str">
        <x:v>cautious 2030 pluggable-1p6t兑现</x:v>
      </x:c>
      <x:c r="C1079" s="230" t="n">
        <x:f>'光引擎参考'!K59</x:f>
        <x:v>4.047454656</x:v>
      </x:c>
      <x:c r="D1079" s="230" t="n">
        <x:f>'光引擎参考'!I59*'光引擎参考'!J59</x:f>
        <x:v>4.047454656</x:v>
      </x:c>
      <x:c r="E1079" s="230" t="n">
        <x:f>C1079-D1079</x:f>
        <x:v>0</x:v>
      </x:c>
      <x:c r="F1079" s="177" t="str">
        <x:f>IF(ABS(E1079)&lt;0.000001,"PASS","FAIL")</x:f>
        <x:v>PASS</x:v>
      </x:c>
      <x:c r="G1079" s="177" t="str">
        <x:v>参考模型不并入公司收入</x:v>
      </x:c>
      <x:c r="H1079" s="184"/>
    </x:row>
    <x:row r="1080">
      <x:c r="A1080" s="177" t="str">
        <x:v>DYN-OE-REAL-60</x:v>
      </x:c>
      <x:c r="B1080" s="177" t="str">
        <x:v>cautious 2030 ocs兑现</x:v>
      </x:c>
      <x:c r="C1080" s="230" t="n">
        <x:f>'光引擎参考'!K60</x:f>
        <x:v>18.774747648000005</x:v>
      </x:c>
      <x:c r="D1080" s="230" t="n">
        <x:f>'光引擎参考'!I60*'光引擎参考'!J60</x:f>
        <x:v>18.774747648000005</x:v>
      </x:c>
      <x:c r="E1080" s="230" t="n">
        <x:f>C1080-D1080</x:f>
        <x:v>0</x:v>
      </x:c>
      <x:c r="F1080" s="177" t="str">
        <x:f>IF(ABS(E1080)&lt;0.000001,"PASS","FAIL")</x:f>
        <x:v>PASS</x:v>
      </x:c>
      <x:c r="G1080" s="177" t="str">
        <x:v>参考模型不并入公司收入</x:v>
      </x:c>
      <x:c r="H1080" s="184"/>
    </x:row>
    <x:row r="1081">
      <x:c r="A1081" s="177" t="str">
        <x:v>DYN-OE-REAL-61</x:v>
      </x:c>
      <x:c r="B1081" s="177" t="str">
        <x:v>cautious 2030 vGroove兑现</x:v>
      </x:c>
      <x:c r="C1081" s="230" t="n">
        <x:f>'光引擎参考'!K61</x:f>
        <x:v>66.76594854838272</x:v>
      </x:c>
      <x:c r="D1081" s="230" t="n">
        <x:f>'光引擎参考'!I61*'光引擎参考'!J61</x:f>
        <x:v>66.76594854838272</x:v>
      </x:c>
      <x:c r="E1081" s="230" t="n">
        <x:f>C1081-D1081</x:f>
        <x:v>0</x:v>
      </x:c>
      <x:c r="F1081" s="177" t="str">
        <x:f>IF(ABS(E1081)&lt;0.000001,"PASS","FAIL")</x:f>
        <x:v>PASS</x:v>
      </x:c>
      <x:c r="G1081" s="177" t="str">
        <x:v>参考模型不并入公司收入</x:v>
      </x:c>
      <x:c r="H1081" s="184"/>
    </x:row>
    <x:row r="1082">
      <x:c r="A1082" s="177" t="str">
        <x:v>DYN-OE-REAL-62</x:v>
      </x:c>
      <x:c r="B1082" s="177" t="str">
        <x:v>cautious 2030 fauPrism兑现</x:v>
      </x:c>
      <x:c r="C1082" s="230" t="n">
        <x:f>'光引擎参考'!K62</x:f>
        <x:v>73.36917422899201</x:v>
      </x:c>
      <x:c r="D1082" s="230" t="n">
        <x:f>'光引擎参考'!I62*'光引擎参考'!J62</x:f>
        <x:v>73.36917422899201</x:v>
      </x:c>
      <x:c r="E1082" s="230" t="n">
        <x:f>C1082-D1082</x:f>
        <x:v>0</x:v>
      </x:c>
      <x:c r="F1082" s="177" t="str">
        <x:f>IF(ABS(E1082)&lt;0.000001,"PASS","FAIL")</x:f>
        <x:v>PASS</x:v>
      </x:c>
      <x:c r="G1082" s="177" t="str">
        <x:v>参考模型不并入公司收入</x:v>
      </x:c>
      <x:c r="H1082" s="184"/>
    </x:row>
    <x:row r="1083">
      <x:c r="A1083" s="177" t="str">
        <x:v>DYN-OE-REAL-63</x:v>
      </x:c>
      <x:c r="B1083" s="177" t="str">
        <x:v>cautious 2030 externalLaser兑现</x:v>
      </x:c>
      <x:c r="C1083" s="230" t="n">
        <x:f>'光引擎参考'!K63</x:f>
        <x:v>32.60852187955201</x:v>
      </x:c>
      <x:c r="D1083" s="230" t="n">
        <x:f>'光引擎参考'!I63*'光引擎参考'!J63</x:f>
        <x:v>32.60852187955201</x:v>
      </x:c>
      <x:c r="E1083" s="230" t="n">
        <x:f>C1083-D1083</x:f>
        <x:v>0</x:v>
      </x:c>
      <x:c r="F1083" s="177" t="str">
        <x:f>IF(ABS(E1083)&lt;0.000001,"PASS","FAIL")</x:f>
        <x:v>PASS</x:v>
      </x:c>
      <x:c r="G1083" s="177" t="str">
        <x:v>参考模型不并入公司收入</x:v>
      </x:c>
      <x:c r="H1083" s="184"/>
    </x:row>
    <x:row r="1084">
      <x:c r="A1084" s="177" t="str">
        <x:v>DYN-OE-REAL-64</x:v>
      </x:c>
      <x:c r="B1084" s="177" t="str">
        <x:v>cautious 2030 equipment兑现</x:v>
      </x:c>
      <x:c r="C1084" s="230" t="n">
        <x:f>'光引擎参考'!K64</x:f>
        <x:v>16.81761312</x:v>
      </x:c>
      <x:c r="D1084" s="230" t="n">
        <x:f>'光引擎参考'!I64*'光引擎参考'!J64</x:f>
        <x:v>16.81761312</x:v>
      </x:c>
      <x:c r="E1084" s="230" t="n">
        <x:f>C1084-D1084</x:f>
        <x:v>0</x:v>
      </x:c>
      <x:c r="F1084" s="177" t="str">
        <x:f>IF(ABS(E1084)&lt;0.000001,"PASS","FAIL")</x:f>
        <x:v>PASS</x:v>
      </x:c>
      <x:c r="G1084" s="177" t="str">
        <x:v>参考模型不并入公司收入</x:v>
      </x:c>
      <x:c r="H1084" s="184"/>
    </x:row>
    <x:row r="1085">
      <x:c r="A1085" s="177" t="str">
        <x:v>DYN-OE-REAL-71</x:v>
      </x:c>
      <x:c r="B1085" s="177" t="str">
        <x:v>base 2026 pluggable-800g兑现</x:v>
      </x:c>
      <x:c r="C1085" s="230" t="n">
        <x:f>'光引擎参考'!K71</x:f>
        <x:v>0.7168</x:v>
      </x:c>
      <x:c r="D1085" s="230" t="n">
        <x:f>'光引擎参考'!I71*'光引擎参考'!J71</x:f>
        <x:v>0.7168</x:v>
      </x:c>
      <x:c r="E1085" s="230" t="n">
        <x:f>C1085-D1085</x:f>
        <x:v>0</x:v>
      </x:c>
      <x:c r="F1085" s="177" t="str">
        <x:f>IF(ABS(E1085)&lt;0.000001,"PASS","FAIL")</x:f>
        <x:v>PASS</x:v>
      </x:c>
      <x:c r="G1085" s="177" t="str">
        <x:v>参考模型不并入公司收入</x:v>
      </x:c>
      <x:c r="H1085" s="184"/>
    </x:row>
    <x:row r="1086">
      <x:c r="A1086" s="177" t="str">
        <x:v>DYN-OE-REAL-72</x:v>
      </x:c>
      <x:c r="B1086" s="177" t="str">
        <x:v>base 2026 pluggable-1p6t兑现</x:v>
      </x:c>
      <x:c r="C1086" s="230" t="n">
        <x:f>'光引擎参考'!K72</x:f>
        <x:v>0.336896</x:v>
      </x:c>
      <x:c r="D1086" s="230" t="n">
        <x:f>'光引擎参考'!I72*'光引擎参考'!J72</x:f>
        <x:v>0.336896</x:v>
      </x:c>
      <x:c r="E1086" s="230" t="n">
        <x:f>C1086-D1086</x:f>
        <x:v>0</x:v>
      </x:c>
      <x:c r="F1086" s="177" t="str">
        <x:f>IF(ABS(E1086)&lt;0.000001,"PASS","FAIL")</x:f>
        <x:v>PASS</x:v>
      </x:c>
      <x:c r="G1086" s="177" t="str">
        <x:v>参考模型不并入公司收入</x:v>
      </x:c>
      <x:c r="H1086" s="184"/>
    </x:row>
    <x:row r="1087">
      <x:c r="A1087" s="177" t="str">
        <x:v>DYN-OE-REAL-73</x:v>
      </x:c>
      <x:c r="B1087" s="177" t="str">
        <x:v>base 2026 ocs兑现</x:v>
      </x:c>
      <x:c r="C1087" s="230" t="n">
        <x:f>'光引擎参考'!K73</x:f>
        <x:v>1.33504</x:v>
      </x:c>
      <x:c r="D1087" s="230" t="n">
        <x:f>'光引擎参考'!I73*'光引擎参考'!J73</x:f>
        <x:v>1.33504</x:v>
      </x:c>
      <x:c r="E1087" s="230" t="n">
        <x:f>C1087-D1087</x:f>
        <x:v>0</x:v>
      </x:c>
      <x:c r="F1087" s="177" t="str">
        <x:f>IF(ABS(E1087)&lt;0.000001,"PASS","FAIL")</x:f>
        <x:v>PASS</x:v>
      </x:c>
      <x:c r="G1087" s="177" t="str">
        <x:v>参考模型不并入公司收入</x:v>
      </x:c>
      <x:c r="H1087" s="184"/>
    </x:row>
    <x:row r="1088">
      <x:c r="A1088" s="177" t="str">
        <x:v>DYN-OE-REAL-74</x:v>
      </x:c>
      <x:c r="B1088" s="177" t="str">
        <x:v>base 2026 vGroove兑现</x:v>
      </x:c>
      <x:c r="C1088" s="230" t="n">
        <x:f>'光引擎参考'!K74</x:f>
        <x:v>0.4644863999999999</x:v>
      </x:c>
      <x:c r="D1088" s="230" t="n">
        <x:f>'光引擎参考'!I74*'光引擎参考'!J74</x:f>
        <x:v>0.4644863999999999</x:v>
      </x:c>
      <x:c r="E1088" s="230" t="n">
        <x:f>C1088-D1088</x:f>
        <x:v>0</x:v>
      </x:c>
      <x:c r="F1088" s="177" t="str">
        <x:f>IF(ABS(E1088)&lt;0.000001,"PASS","FAIL")</x:f>
        <x:v>PASS</x:v>
      </x:c>
      <x:c r="G1088" s="177" t="str">
        <x:v>参考模型不并入公司收入</x:v>
      </x:c>
      <x:c r="H1088" s="184"/>
    </x:row>
    <x:row r="1089">
      <x:c r="A1089" s="177" t="str">
        <x:v>DYN-OE-REAL-75</x:v>
      </x:c>
      <x:c r="B1089" s="177" t="str">
        <x:v>base 2026 fauPrism兑现</x:v>
      </x:c>
      <x:c r="C1089" s="230" t="n">
        <x:f>'光引擎参考'!K75</x:f>
        <x:v>0.663552</x:v>
      </x:c>
      <x:c r="D1089" s="230" t="n">
        <x:f>'光引擎参考'!I75*'光引擎参考'!J75</x:f>
        <x:v>0.663552</x:v>
      </x:c>
      <x:c r="E1089" s="230" t="n">
        <x:f>C1089-D1089</x:f>
        <x:v>0</x:v>
      </x:c>
      <x:c r="F1089" s="177" t="str">
        <x:f>IF(ABS(E1089)&lt;0.000001,"PASS","FAIL")</x:f>
        <x:v>PASS</x:v>
      </x:c>
      <x:c r="G1089" s="177" t="str">
        <x:v>参考模型不并入公司收入</x:v>
      </x:c>
      <x:c r="H1089" s="184"/>
    </x:row>
    <x:row r="1090">
      <x:c r="A1090" s="177" t="str">
        <x:v>DYN-OE-REAL-76</x:v>
      </x:c>
      <x:c r="B1090" s="177" t="str">
        <x:v>base 2026 externalLaser兑现</x:v>
      </x:c>
      <x:c r="C1090" s="230" t="n">
        <x:f>'光引擎参考'!K76</x:f>
        <x:v>0.36864</x:v>
      </x:c>
      <x:c r="D1090" s="230" t="n">
        <x:f>'光引擎参考'!I76*'光引擎参考'!J76</x:f>
        <x:v>0.36864</x:v>
      </x:c>
      <x:c r="E1090" s="230" t="n">
        <x:f>C1090-D1090</x:f>
        <x:v>0</x:v>
      </x:c>
      <x:c r="F1090" s="177" t="str">
        <x:f>IF(ABS(E1090)&lt;0.000001,"PASS","FAIL")</x:f>
        <x:v>PASS</x:v>
      </x:c>
      <x:c r="G1090" s="177" t="str">
        <x:v>参考模型不并入公司收入</x:v>
      </x:c>
      <x:c r="H1090" s="184"/>
    </x:row>
    <x:row r="1091">
      <x:c r="A1091" s="177" t="str">
        <x:v>DYN-OE-REAL-77</x:v>
      </x:c>
      <x:c r="B1091" s="177" t="str">
        <x:v>base 2026 equipment兑现</x:v>
      </x:c>
      <x:c r="C1091" s="230" t="n">
        <x:f>'光引擎参考'!K77</x:f>
        <x:v>0</x:v>
      </x:c>
      <x:c r="D1091" s="230" t="n">
        <x:f>'光引擎参考'!I77*'光引擎参考'!J77</x:f>
        <x:v>0</x:v>
      </x:c>
      <x:c r="E1091" s="230" t="n">
        <x:f>C1091-D1091</x:f>
        <x:v>0</x:v>
      </x:c>
      <x:c r="F1091" s="177" t="str">
        <x:f>IF(ABS(E1091)&lt;0.000001,"PASS","FAIL")</x:f>
        <x:v>PASS</x:v>
      </x:c>
      <x:c r="G1091" s="177" t="str">
        <x:v>参考模型不并入公司收入</x:v>
      </x:c>
      <x:c r="H1091" s="184"/>
    </x:row>
    <x:row r="1092">
      <x:c r="A1092" s="177" t="str">
        <x:v>DYN-OE-REAL-79</x:v>
      </x:c>
      <x:c r="B1092" s="177" t="str">
        <x:v>base 2027 pluggable-800g兑现</x:v>
      </x:c>
      <x:c r="C1092" s="230" t="n">
        <x:f>'光引擎参考'!K79</x:f>
        <x:v>2.1141</x:v>
      </x:c>
      <x:c r="D1092" s="230" t="n">
        <x:f>'光引擎参考'!I79*'光引擎参考'!J79</x:f>
        <x:v>2.1141</x:v>
      </x:c>
      <x:c r="E1092" s="230" t="n">
        <x:f>C1092-D1092</x:f>
        <x:v>0</x:v>
      </x:c>
      <x:c r="F1092" s="177" t="str">
        <x:f>IF(ABS(E1092)&lt;0.000001,"PASS","FAIL")</x:f>
        <x:v>PASS</x:v>
      </x:c>
      <x:c r="G1092" s="177" t="str">
        <x:v>参考模型不并入公司收入</x:v>
      </x:c>
      <x:c r="H1092" s="184"/>
    </x:row>
    <x:row r="1093">
      <x:c r="A1093" s="177" t="str">
        <x:v>DYN-OE-REAL-80</x:v>
      </x:c>
      <x:c r="B1093" s="177" t="str">
        <x:v>base 2027 pluggable-1p6t兑现</x:v>
      </x:c>
      <x:c r="C1093" s="230" t="n">
        <x:f>'光引擎参考'!K80</x:f>
        <x:v>2.612736</x:v>
      </x:c>
      <x:c r="D1093" s="230" t="n">
        <x:f>'光引擎参考'!I80*'光引擎参考'!J80</x:f>
        <x:v>2.612736</x:v>
      </x:c>
      <x:c r="E1093" s="230" t="n">
        <x:f>C1093-D1093</x:f>
        <x:v>0</x:v>
      </x:c>
      <x:c r="F1093" s="177" t="str">
        <x:f>IF(ABS(E1093)&lt;0.000001,"PASS","FAIL")</x:f>
        <x:v>PASS</x:v>
      </x:c>
      <x:c r="G1093" s="177" t="str">
        <x:v>参考模型不并入公司收入</x:v>
      </x:c>
      <x:c r="H1093" s="184"/>
    </x:row>
    <x:row r="1094">
      <x:c r="A1094" s="177" t="str">
        <x:v>DYN-OE-REAL-81</x:v>
      </x:c>
      <x:c r="B1094" s="177" t="str">
        <x:v>base 2027 ocs兑现</x:v>
      </x:c>
      <x:c r="C1094" s="230" t="n">
        <x:f>'光引擎参考'!K81</x:f>
        <x:v>7.995392000000002</x:v>
      </x:c>
      <x:c r="D1094" s="230" t="n">
        <x:f>'光引擎参考'!I81*'光引擎参考'!J81</x:f>
        <x:v>7.995392000000002</x:v>
      </x:c>
      <x:c r="E1094" s="230" t="n">
        <x:f>C1094-D1094</x:f>
        <x:v>0</x:v>
      </x:c>
      <x:c r="F1094" s="177" t="str">
        <x:f>IF(ABS(E1094)&lt;0.000001,"PASS","FAIL")</x:f>
        <x:v>PASS</x:v>
      </x:c>
      <x:c r="G1094" s="177" t="str">
        <x:v>参考模型不并入公司收入</x:v>
      </x:c>
      <x:c r="H1094" s="184"/>
    </x:row>
    <x:row r="1095">
      <x:c r="A1095" s="177" t="str">
        <x:v>DYN-OE-REAL-82</x:v>
      </x:c>
      <x:c r="B1095" s="177" t="str">
        <x:v>base 2027 vGroove兑现</x:v>
      </x:c>
      <x:c r="C1095" s="230" t="n">
        <x:f>'光引擎参考'!K82</x:f>
        <x:v>3.6126719999999994</x:v>
      </x:c>
      <x:c r="D1095" s="230" t="n">
        <x:f>'光引擎参考'!I82*'光引擎参考'!J82</x:f>
        <x:v>3.6126719999999994</x:v>
      </x:c>
      <x:c r="E1095" s="230" t="n">
        <x:f>C1095-D1095</x:f>
        <x:v>0</x:v>
      </x:c>
      <x:c r="F1095" s="177" t="str">
        <x:f>IF(ABS(E1095)&lt;0.000001,"PASS","FAIL")</x:f>
        <x:v>PASS</x:v>
      </x:c>
      <x:c r="G1095" s="177" t="str">
        <x:v>参考模型不并入公司收入</x:v>
      </x:c>
      <x:c r="H1095" s="184"/>
    </x:row>
    <x:row r="1096">
      <x:c r="A1096" s="177" t="str">
        <x:v>DYN-OE-REAL-83</x:v>
      </x:c>
      <x:c r="B1096" s="177" t="str">
        <x:v>base 2027 fauPrism兑现</x:v>
      </x:c>
      <x:c r="C1096" s="230" t="n">
        <x:f>'光引擎参考'!K83</x:f>
        <x:v>4.644864000000001</x:v>
      </x:c>
      <x:c r="D1096" s="230" t="n">
        <x:f>'光引擎参考'!I83*'光引擎参考'!J83</x:f>
        <x:v>4.644864000000001</x:v>
      </x:c>
      <x:c r="E1096" s="230" t="n">
        <x:f>C1096-D1096</x:f>
        <x:v>0</x:v>
      </x:c>
      <x:c r="F1096" s="177" t="str">
        <x:f>IF(ABS(E1096)&lt;0.000001,"PASS","FAIL")</x:f>
        <x:v>PASS</x:v>
      </x:c>
      <x:c r="G1096" s="177" t="str">
        <x:v>参考模型不并入公司收入</x:v>
      </x:c>
      <x:c r="H1096" s="184"/>
    </x:row>
    <x:row r="1097">
      <x:c r="A1097" s="177" t="str">
        <x:v>DYN-OE-REAL-84</x:v>
      </x:c>
      <x:c r="B1097" s="177" t="str">
        <x:v>base 2027 externalLaser兑现</x:v>
      </x:c>
      <x:c r="C1097" s="230" t="n">
        <x:f>'光引擎参考'!K84</x:f>
        <x:v>2.58048</x:v>
      </x:c>
      <x:c r="D1097" s="230" t="n">
        <x:f>'光引擎参考'!I84*'光引擎参考'!J84</x:f>
        <x:v>2.58048</x:v>
      </x:c>
      <x:c r="E1097" s="230" t="n">
        <x:f>C1097-D1097</x:f>
        <x:v>0</x:v>
      </x:c>
      <x:c r="F1097" s="177" t="str">
        <x:f>IF(ABS(E1097)&lt;0.000001,"PASS","FAIL")</x:f>
        <x:v>PASS</x:v>
      </x:c>
      <x:c r="G1097" s="177" t="str">
        <x:v>参考模型不并入公司收入</x:v>
      </x:c>
      <x:c r="H1097" s="184"/>
    </x:row>
    <x:row r="1098">
      <x:c r="A1098" s="177" t="str">
        <x:v>DYN-OE-REAL-85</x:v>
      </x:c>
      <x:c r="B1098" s="177" t="str">
        <x:v>base 2027 equipment兑现</x:v>
      </x:c>
      <x:c r="C1098" s="230" t="n">
        <x:f>'光引擎参考'!K85</x:f>
        <x:v>0.384</x:v>
      </x:c>
      <x:c r="D1098" s="230" t="n">
        <x:f>'光引擎参考'!I85*'光引擎参考'!J85</x:f>
        <x:v>0.384</x:v>
      </x:c>
      <x:c r="E1098" s="230" t="n">
        <x:f>C1098-D1098</x:f>
        <x:v>0</x:v>
      </x:c>
      <x:c r="F1098" s="177" t="str">
        <x:f>IF(ABS(E1098)&lt;0.000001,"PASS","FAIL")</x:f>
        <x:v>PASS</x:v>
      </x:c>
      <x:c r="G1098" s="177" t="str">
        <x:v>参考模型不并入公司收入</x:v>
      </x:c>
      <x:c r="H1098" s="184"/>
    </x:row>
    <x:row r="1099">
      <x:c r="A1099" s="177" t="str">
        <x:v>DYN-OE-REAL-87</x:v>
      </x:c>
      <x:c r="B1099" s="177" t="str">
        <x:v>base 2028 pluggable-800g兑现</x:v>
      </x:c>
      <x:c r="C1099" s="230" t="n">
        <x:f>'光引擎参考'!K87</x:f>
        <x:v>1.4580000000000002</x:v>
      </x:c>
      <x:c r="D1099" s="230" t="n">
        <x:f>'光引擎参考'!I87*'光引擎参考'!J87</x:f>
        <x:v>1.4580000000000002</x:v>
      </x:c>
      <x:c r="E1099" s="230" t="n">
        <x:f>C1099-D1099</x:f>
        <x:v>0</x:v>
      </x:c>
      <x:c r="F1099" s="177" t="str">
        <x:f>IF(ABS(E1099)&lt;0.000001,"PASS","FAIL")</x:f>
        <x:v>PASS</x:v>
      </x:c>
      <x:c r="G1099" s="177" t="str">
        <x:v>参考模型不并入公司收入</x:v>
      </x:c>
      <x:c r="H1099" s="184"/>
    </x:row>
    <x:row r="1100">
      <x:c r="A1100" s="177" t="str">
        <x:v>DYN-OE-REAL-88</x:v>
      </x:c>
      <x:c r="B1100" s="177" t="str">
        <x:v>base 2028 pluggable-1p6t兑现</x:v>
      </x:c>
      <x:c r="C1100" s="230" t="n">
        <x:f>'光引擎参考'!K88</x:f>
        <x:v>4.28652</x:v>
      </x:c>
      <x:c r="D1100" s="230" t="n">
        <x:f>'光引擎参考'!I88*'光引擎参考'!J88</x:f>
        <x:v>4.28652</x:v>
      </x:c>
      <x:c r="E1100" s="230" t="n">
        <x:f>C1100-D1100</x:f>
        <x:v>0</x:v>
      </x:c>
      <x:c r="F1100" s="177" t="str">
        <x:f>IF(ABS(E1100)&lt;0.000001,"PASS","FAIL")</x:f>
        <x:v>PASS</x:v>
      </x:c>
      <x:c r="G1100" s="177" t="str">
        <x:v>参考模型不并入公司收入</x:v>
      </x:c>
      <x:c r="H1100" s="184"/>
    </x:row>
    <x:row r="1101">
      <x:c r="A1101" s="177" t="str">
        <x:v>DYN-OE-REAL-89</x:v>
      </x:c>
      <x:c r="B1101" s="177" t="str">
        <x:v>base 2028 ocs兑现</x:v>
      </x:c>
      <x:c r="C1101" s="230" t="n">
        <x:f>'光引擎参考'!K89</x:f>
        <x:v>15.910502400000002</x:v>
      </x:c>
      <x:c r="D1101" s="230" t="n">
        <x:f>'光引擎参考'!I89*'光引擎参考'!J89</x:f>
        <x:v>15.910502400000002</x:v>
      </x:c>
      <x:c r="E1101" s="230" t="n">
        <x:f>C1101-D1101</x:f>
        <x:v>0</x:v>
      </x:c>
      <x:c r="F1101" s="177" t="str">
        <x:f>IF(ABS(E1101)&lt;0.000001,"PASS","FAIL")</x:f>
        <x:v>PASS</x:v>
      </x:c>
      <x:c r="G1101" s="177" t="str">
        <x:v>参考模型不并入公司收入</x:v>
      </x:c>
      <x:c r="H1101" s="184"/>
    </x:row>
    <x:row r="1102">
      <x:c r="A1102" s="177" t="str">
        <x:v>DYN-OE-REAL-90</x:v>
      </x:c>
      <x:c r="B1102" s="177" t="str">
        <x:v>base 2028 vGroove兑现</x:v>
      </x:c>
      <x:c r="C1102" s="230" t="n">
        <x:f>'光引擎参考'!K90</x:f>
        <x:v>12.201128755200001</x:v>
      </x:c>
      <x:c r="D1102" s="230" t="n">
        <x:f>'光引擎参考'!I90*'光引擎参考'!J90</x:f>
        <x:v>12.201128755200001</x:v>
      </x:c>
      <x:c r="E1102" s="230" t="n">
        <x:f>C1102-D1102</x:f>
        <x:v>0</x:v>
      </x:c>
      <x:c r="F1102" s="177" t="str">
        <x:f>IF(ABS(E1102)&lt;0.000001,"PASS","FAIL")</x:f>
        <x:v>PASS</x:v>
      </x:c>
      <x:c r="G1102" s="177" t="str">
        <x:v>参考模型不并入公司收入</x:v>
      </x:c>
      <x:c r="H1102" s="184"/>
    </x:row>
    <x:row r="1103">
      <x:c r="A1103" s="177" t="str">
        <x:v>DYN-OE-REAL-91</x:v>
      </x:c>
      <x:c r="B1103" s="177" t="str">
        <x:v>base 2028 fauPrism兑现</x:v>
      </x:c>
      <x:c r="C1103" s="230" t="n">
        <x:f>'光引擎参考'!K91</x:f>
        <x:v>14.261059583999998</x:v>
      </x:c>
      <x:c r="D1103" s="230" t="n">
        <x:f>'光引擎参考'!I91*'光引擎参考'!J91</x:f>
        <x:v>14.261059583999998</x:v>
      </x:c>
      <x:c r="E1103" s="230" t="n">
        <x:f>C1103-D1103</x:f>
        <x:v>0</x:v>
      </x:c>
      <x:c r="F1103" s="177" t="str">
        <x:f>IF(ABS(E1103)&lt;0.000001,"PASS","FAIL")</x:f>
        <x:v>PASS</x:v>
      </x:c>
      <x:c r="G1103" s="177" t="str">
        <x:v>参考模型不并入公司收入</x:v>
      </x:c>
      <x:c r="H1103" s="184"/>
    </x:row>
    <x:row r="1104">
      <x:c r="A1104" s="177" t="str">
        <x:v>DYN-OE-REAL-92</x:v>
      </x:c>
      <x:c r="B1104" s="177" t="str">
        <x:v>base 2028 externalLaser兑现</x:v>
      </x:c>
      <x:c r="C1104" s="230" t="n">
        <x:f>'光引擎参考'!K92</x:f>
        <x:v>7.629373440000001</x:v>
      </x:c>
      <x:c r="D1104" s="230" t="n">
        <x:f>'光引擎参考'!I92*'光引擎参考'!J92</x:f>
        <x:v>7.629373440000001</x:v>
      </x:c>
      <x:c r="E1104" s="230" t="n">
        <x:f>C1104-D1104</x:f>
        <x:v>0</x:v>
      </x:c>
      <x:c r="F1104" s="177" t="str">
        <x:f>IF(ABS(E1104)&lt;0.000001,"PASS","FAIL")</x:f>
        <x:v>PASS</x:v>
      </x:c>
      <x:c r="G1104" s="177" t="str">
        <x:v>参考模型不并入公司收入</x:v>
      </x:c>
      <x:c r="H1104" s="184"/>
    </x:row>
    <x:row r="1105">
      <x:c r="A1105" s="177" t="str">
        <x:v>DYN-OE-REAL-93</x:v>
      </x:c>
      <x:c r="B1105" s="177" t="str">
        <x:v>base 2028 equipment兑现</x:v>
      </x:c>
      <x:c r="C1105" s="230" t="n">
        <x:f>'光引擎参考'!K93</x:f>
        <x:v>2.4071040000000004</x:v>
      </x:c>
      <x:c r="D1105" s="230" t="n">
        <x:f>'光引擎参考'!I93*'光引擎参考'!J93</x:f>
        <x:v>2.4071040000000004</x:v>
      </x:c>
      <x:c r="E1105" s="230" t="n">
        <x:f>C1105-D1105</x:f>
        <x:v>0</x:v>
      </x:c>
      <x:c r="F1105" s="177" t="str">
        <x:f>IF(ABS(E1105)&lt;0.000001,"PASS","FAIL")</x:f>
        <x:v>PASS</x:v>
      </x:c>
      <x:c r="G1105" s="177" t="str">
        <x:v>参考模型不并入公司收入</x:v>
      </x:c>
      <x:c r="H1105" s="184"/>
    </x:row>
    <x:row r="1106">
      <x:c r="A1106" s="177" t="str">
        <x:v>DYN-OE-REAL-95</x:v>
      </x:c>
      <x:c r="B1106" s="177" t="str">
        <x:v>base 2029 pluggable-800g兑现</x:v>
      </x:c>
      <x:c r="C1106" s="230" t="n">
        <x:f>'光引擎参考'!K95</x:f>
        <x:v>0.8398080000000002</x:v>
      </x:c>
      <x:c r="D1106" s="230" t="n">
        <x:f>'光引擎参考'!I95*'光引擎参考'!J95</x:f>
        <x:v>0.8398080000000002</x:v>
      </x:c>
      <x:c r="E1106" s="230" t="n">
        <x:f>C1106-D1106</x:f>
        <x:v>0</x:v>
      </x:c>
      <x:c r="F1106" s="177" t="str">
        <x:f>IF(ABS(E1106)&lt;0.000001,"PASS","FAIL")</x:f>
        <x:v>PASS</x:v>
      </x:c>
      <x:c r="G1106" s="177" t="str">
        <x:v>参考模型不并入公司收入</x:v>
      </x:c>
      <x:c r="H1106" s="184"/>
    </x:row>
    <x:row r="1107">
      <x:c r="A1107" s="177" t="str">
        <x:v>DYN-OE-REAL-96</x:v>
      </x:c>
      <x:c r="B1107" s="177" t="str">
        <x:v>base 2029 pluggable-1p6t兑现</x:v>
      </x:c>
      <x:c r="C1107" s="230" t="n">
        <x:f>'光引擎参考'!K96</x:f>
        <x:v>5.327532000000001</x:v>
      </x:c>
      <x:c r="D1107" s="230" t="n">
        <x:f>'光引擎参考'!I96*'光引擎参考'!J96</x:f>
        <x:v>5.327532000000001</x:v>
      </x:c>
      <x:c r="E1107" s="230" t="n">
        <x:f>C1107-D1107</x:f>
        <x:v>0</x:v>
      </x:c>
      <x:c r="F1107" s="177" t="str">
        <x:f>IF(ABS(E1107)&lt;0.000001,"PASS","FAIL")</x:f>
        <x:v>PASS</x:v>
      </x:c>
      <x:c r="G1107" s="177" t="str">
        <x:v>参考模型不并入公司收入</x:v>
      </x:c>
      <x:c r="H1107" s="184"/>
    </x:row>
    <x:row r="1108">
      <x:c r="A1108" s="177" t="str">
        <x:v>DYN-OE-REAL-97</x:v>
      </x:c>
      <x:c r="B1108" s="177" t="str">
        <x:v>base 2029 ocs兑现</x:v>
      </x:c>
      <x:c r="C1108" s="230" t="n">
        <x:f>'光引擎参考'!K97</x:f>
        <x:v>22.783721471999996</x:v>
      </x:c>
      <x:c r="D1108" s="230" t="n">
        <x:f>'光引擎参考'!I97*'光引擎参考'!J97</x:f>
        <x:v>22.783721471999996</x:v>
      </x:c>
      <x:c r="E1108" s="230" t="n">
        <x:f>C1108-D1108</x:f>
        <x:v>0</x:v>
      </x:c>
      <x:c r="F1108" s="177" t="str">
        <x:f>IF(ABS(E1108)&lt;0.000001,"PASS","FAIL")</x:f>
        <x:v>PASS</x:v>
      </x:c>
      <x:c r="G1108" s="177" t="str">
        <x:v>参考模型不并入公司收入</x:v>
      </x:c>
      <x:c r="H1108" s="184"/>
    </x:row>
    <x:row r="1109">
      <x:c r="A1109" s="177" t="str">
        <x:v>DYN-OE-REAL-98</x:v>
      </x:c>
      <x:c r="B1109" s="177" t="str">
        <x:v>base 2029 vGroove兑现</x:v>
      </x:c>
      <x:c r="C1109" s="230" t="n">
        <x:f>'光引擎参考'!K98</x:f>
        <x:v>38.305636024319995</x:v>
      </x:c>
      <x:c r="D1109" s="230" t="n">
        <x:f>'光引擎参考'!I98*'光引擎参考'!J98</x:f>
        <x:v>38.305636024319995</x:v>
      </x:c>
      <x:c r="E1109" s="230" t="n">
        <x:f>C1109-D1109</x:f>
        <x:v>0</x:v>
      </x:c>
      <x:c r="F1109" s="177" t="str">
        <x:f>IF(ABS(E1109)&lt;0.000001,"PASS","FAIL")</x:f>
        <x:v>PASS</x:v>
      </x:c>
      <x:c r="G1109" s="177" t="str">
        <x:v>参考模型不并入公司收入</x:v>
      </x:c>
      <x:c r="H1109" s="184"/>
    </x:row>
    <x:row r="1110">
      <x:c r="A1110" s="177" t="str">
        <x:v>DYN-OE-REAL-99</x:v>
      </x:c>
      <x:c r="B1110" s="177" t="str">
        <x:v>base 2029 fauPrism兑现</x:v>
      </x:c>
      <x:c r="C1110" s="230" t="n">
        <x:f>'光引擎参考'!K99</x:f>
        <x:v>41.04175288320001</x:v>
      </x:c>
      <x:c r="D1110" s="230" t="n">
        <x:f>'光引擎参考'!I99*'光引擎参考'!J99</x:f>
        <x:v>41.04175288320001</x:v>
      </x:c>
      <x:c r="E1110" s="230" t="n">
        <x:f>C1110-D1110</x:f>
        <x:v>0</x:v>
      </x:c>
      <x:c r="F1110" s="177" t="str">
        <x:f>IF(ABS(E1110)&lt;0.000001,"PASS","FAIL")</x:f>
        <x:v>PASS</x:v>
      </x:c>
      <x:c r="G1110" s="177" t="str">
        <x:v>参考模型不并入公司收入</x:v>
      </x:c>
      <x:c r="H1110" s="184"/>
    </x:row>
    <x:row r="1111">
      <x:c r="A1111" s="177" t="str">
        <x:v>DYN-OE-REAL-100</x:v>
      </x:c>
      <x:c r="B1111" s="177" t="str">
        <x:v>base 2029 externalLaser兑现</x:v>
      </x:c>
      <x:c r="C1111" s="230" t="n">
        <x:f>'光引擎参考'!K100</x:f>
        <x:v>21.112012800000002</x:v>
      </x:c>
      <x:c r="D1111" s="230" t="n">
        <x:f>'光引擎参考'!I100*'光引擎参考'!J100</x:f>
        <x:v>21.112012800000002</x:v>
      </x:c>
      <x:c r="E1111" s="230" t="n">
        <x:f>C1111-D1111</x:f>
        <x:v>0</x:v>
      </x:c>
      <x:c r="F1111" s="177" t="str">
        <x:f>IF(ABS(E1111)&lt;0.000001,"PASS","FAIL")</x:f>
        <x:v>PASS</x:v>
      </x:c>
      <x:c r="G1111" s="177" t="str">
        <x:v>参考模型不并入公司收入</x:v>
      </x:c>
      <x:c r="H1111" s="184"/>
    </x:row>
    <x:row r="1112">
      <x:c r="A1112" s="177" t="str">
        <x:v>DYN-OE-REAL-101</x:v>
      </x:c>
      <x:c r="B1112" s="177" t="str">
        <x:v>base 2029 equipment兑现</x:v>
      </x:c>
      <x:c r="C1112" s="230" t="n">
        <x:f>'光引擎参考'!K101</x:f>
        <x:v>8.552319999999998</x:v>
      </x:c>
      <x:c r="D1112" s="230" t="n">
        <x:f>'光引擎参考'!I101*'光引擎参考'!J101</x:f>
        <x:v>8.552319999999998</x:v>
      </x:c>
      <x:c r="E1112" s="230" t="n">
        <x:f>C1112-D1112</x:f>
        <x:v>0</x:v>
      </x:c>
      <x:c r="F1112" s="177" t="str">
        <x:f>IF(ABS(E1112)&lt;0.000001,"PASS","FAIL")</x:f>
        <x:v>PASS</x:v>
      </x:c>
      <x:c r="G1112" s="177" t="str">
        <x:v>参考模型不并入公司收入</x:v>
      </x:c>
      <x:c r="H1112" s="184"/>
    </x:row>
    <x:row r="1113">
      <x:c r="A1113" s="177" t="str">
        <x:v>DYN-OE-REAL-103</x:v>
      </x:c>
      <x:c r="B1113" s="177" t="str">
        <x:v>base 2030 pluggable-800g兑现</x:v>
      </x:c>
      <x:c r="C1113" s="230" t="n">
        <x:f>'光引擎参考'!K103</x:f>
        <x:v>0.4251528</x:v>
      </x:c>
      <x:c r="D1113" s="230" t="n">
        <x:f>'光引擎参考'!I103*'光引擎参考'!J103</x:f>
        <x:v>0.4251528</x:v>
      </x:c>
      <x:c r="E1113" s="230" t="n">
        <x:f>C1113-D1113</x:f>
        <x:v>0</x:v>
      </x:c>
      <x:c r="F1113" s="177" t="str">
        <x:f>IF(ABS(E1113)&lt;0.000001,"PASS","FAIL")</x:f>
        <x:v>PASS</x:v>
      </x:c>
      <x:c r="G1113" s="177" t="str">
        <x:v>参考模型不并入公司收入</x:v>
      </x:c>
      <x:c r="H1113" s="184"/>
    </x:row>
    <x:row r="1114">
      <x:c r="A1114" s="177" t="str">
        <x:v>DYN-OE-REAL-104</x:v>
      </x:c>
      <x:c r="B1114" s="177" t="str">
        <x:v>base 2030 pluggable-1p6t兑现</x:v>
      </x:c>
      <x:c r="C1114" s="230" t="n">
        <x:f>'光引擎参考'!K104</x:f>
        <x:v>5.2907904</x:v>
      </x:c>
      <x:c r="D1114" s="230" t="n">
        <x:f>'光引擎参考'!I104*'光引擎参考'!J104</x:f>
        <x:v>5.2907904</x:v>
      </x:c>
      <x:c r="E1114" s="230" t="n">
        <x:f>C1114-D1114</x:f>
        <x:v>0</x:v>
      </x:c>
      <x:c r="F1114" s="177" t="str">
        <x:f>IF(ABS(E1114)&lt;0.000001,"PASS","FAIL")</x:f>
        <x:v>PASS</x:v>
      </x:c>
      <x:c r="G1114" s="177" t="str">
        <x:v>参考模型不并入公司收入</x:v>
      </x:c>
      <x:c r="H1114" s="184"/>
    </x:row>
    <x:row r="1115">
      <x:c r="A1115" s="177" t="str">
        <x:v>DYN-OE-REAL-105</x:v>
      </x:c>
      <x:c r="B1115" s="177" t="str">
        <x:v>base 2030 ocs兑现</x:v>
      </x:c>
      <x:c r="C1115" s="230" t="n">
        <x:f>'光引擎参考'!K105</x:f>
        <x:v>27.81444096000001</x:v>
      </x:c>
      <x:c r="D1115" s="230" t="n">
        <x:f>'光引擎参考'!I105*'光引擎参考'!J105</x:f>
        <x:v>27.81444096000001</x:v>
      </x:c>
      <x:c r="E1115" s="230" t="n">
        <x:f>C1115-D1115</x:f>
        <x:v>0</x:v>
      </x:c>
      <x:c r="F1115" s="177" t="str">
        <x:f>IF(ABS(E1115)&lt;0.000001,"PASS","FAIL")</x:f>
        <x:v>PASS</x:v>
      </x:c>
      <x:c r="G1115" s="177" t="str">
        <x:v>参考模型不并入公司收入</x:v>
      </x:c>
      <x:c r="H1115" s="184"/>
    </x:row>
    <x:row r="1116">
      <x:c r="A1116" s="177" t="str">
        <x:v>DYN-OE-REAL-106</x:v>
      </x:c>
      <x:c r="B1116" s="177" t="str">
        <x:v>base 2030 vGroove兑现</x:v>
      </x:c>
      <x:c r="C1116" s="230" t="n">
        <x:f>'光引擎参考'!K106</x:f>
        <x:v>87.275749736448</x:v>
      </x:c>
      <x:c r="D1116" s="230" t="n">
        <x:f>'光引擎参考'!I106*'光引擎参考'!J106</x:f>
        <x:v>87.275749736448</x:v>
      </x:c>
      <x:c r="E1116" s="230" t="n">
        <x:f>C1116-D1116</x:f>
        <x:v>0</x:v>
      </x:c>
      <x:c r="F1116" s="177" t="str">
        <x:f>IF(ABS(E1116)&lt;0.000001,"PASS","FAIL")</x:f>
        <x:v>PASS</x:v>
      </x:c>
      <x:c r="G1116" s="177" t="str">
        <x:v>参考模型不并入公司收入</x:v>
      </x:c>
      <x:c r="H1116" s="184"/>
    </x:row>
    <x:row r="1117">
      <x:c r="A1117" s="177" t="str">
        <x:v>DYN-OE-REAL-107</x:v>
      </x:c>
      <x:c r="B1117" s="177" t="str">
        <x:v>base 2030 fauPrism兑现</x:v>
      </x:c>
      <x:c r="C1117" s="230" t="n">
        <x:f>'光引擎参考'!K107</x:f>
        <x:v>86.31667556352002</x:v>
      </x:c>
      <x:c r="D1117" s="230" t="n">
        <x:f>'光引擎参考'!I107*'光引擎参考'!J107</x:f>
        <x:v>86.31667556352002</x:v>
      </x:c>
      <x:c r="E1117" s="230" t="n">
        <x:f>C1117-D1117</x:f>
        <x:v>0</x:v>
      </x:c>
      <x:c r="F1117" s="177" t="str">
        <x:f>IF(ABS(E1117)&lt;0.000001,"PASS","FAIL")</x:f>
        <x:v>PASS</x:v>
      </x:c>
      <x:c r="G1117" s="177" t="str">
        <x:v>参考模型不并入公司收入</x:v>
      </x:c>
      <x:c r="H1117" s="184"/>
    </x:row>
    <x:row r="1118">
      <x:c r="A1118" s="177" t="str">
        <x:v>DYN-OE-REAL-108</x:v>
      </x:c>
      <x:c r="B1118" s="177" t="str">
        <x:v>base 2030 externalLaser兑现</x:v>
      </x:c>
      <x:c r="C1118" s="230" t="n">
        <x:f>'光引擎参考'!K108</x:f>
        <x:v>42.62551879680001</x:v>
      </x:c>
      <x:c r="D1118" s="230" t="n">
        <x:f>'光引擎参考'!I108*'光引擎参考'!J108</x:f>
        <x:v>42.62551879680001</x:v>
      </x:c>
      <x:c r="E1118" s="230" t="n">
        <x:f>C1118-D1118</x:f>
        <x:v>0</x:v>
      </x:c>
      <x:c r="F1118" s="177" t="str">
        <x:f>IF(ABS(E1118)&lt;0.000001,"PASS","FAIL")</x:f>
        <x:v>PASS</x:v>
      </x:c>
      <x:c r="G1118" s="177" t="str">
        <x:v>参考模型不并入公司收入</x:v>
      </x:c>
      <x:c r="H1118" s="184"/>
    </x:row>
    <x:row r="1119">
      <x:c r="A1119" s="177" t="str">
        <x:v>DYN-OE-REAL-109</x:v>
      </x:c>
      <x:c r="B1119" s="177" t="str">
        <x:v>base 2030 equipment兑现</x:v>
      </x:c>
      <x:c r="C1119" s="230" t="n">
        <x:f>'光引擎参考'!K109</x:f>
        <x:v>21.983808</x:v>
      </x:c>
      <x:c r="D1119" s="230" t="n">
        <x:f>'光引擎参考'!I109*'光引擎参考'!J109</x:f>
        <x:v>21.983808</x:v>
      </x:c>
      <x:c r="E1119" s="230" t="n">
        <x:f>C1119-D1119</x:f>
        <x:v>0</x:v>
      </x:c>
      <x:c r="F1119" s="177" t="str">
        <x:f>IF(ABS(E1119)&lt;0.000001,"PASS","FAIL")</x:f>
        <x:v>PASS</x:v>
      </x:c>
      <x:c r="G1119" s="177" t="str">
        <x:v>参考模型不并入公司收入</x:v>
      </x:c>
      <x:c r="H1119" s="184"/>
    </x:row>
    <x:row r="1120">
      <x:c r="A1120" s="177" t="str">
        <x:v>DYN-OE-REAL-116</x:v>
      </x:c>
      <x:c r="B1120" s="177" t="str">
        <x:v>optimistic 2026 pluggable-800g兑现</x:v>
      </x:c>
      <x:c r="C1120" s="230" t="n">
        <x:f>'光引擎参考'!K116</x:f>
        <x:v>0.88704</x:v>
      </x:c>
      <x:c r="D1120" s="230" t="n">
        <x:f>'光引擎参考'!I116*'光引擎参考'!J116</x:f>
        <x:v>0.88704</x:v>
      </x:c>
      <x:c r="E1120" s="230" t="n">
        <x:f>C1120-D1120</x:f>
        <x:v>0</x:v>
      </x:c>
      <x:c r="F1120" s="177" t="str">
        <x:f>IF(ABS(E1120)&lt;0.000001,"PASS","FAIL")</x:f>
        <x:v>PASS</x:v>
      </x:c>
      <x:c r="G1120" s="177" t="str">
        <x:v>参考模型不并入公司收入</x:v>
      </x:c>
      <x:c r="H1120" s="184"/>
    </x:row>
    <x:row r="1121">
      <x:c r="A1121" s="177" t="str">
        <x:v>DYN-OE-REAL-117</x:v>
      </x:c>
      <x:c r="B1121" s="177" t="str">
        <x:v>optimistic 2026 pluggable-1p6t兑现</x:v>
      </x:c>
      <x:c r="C1121" s="230" t="n">
        <x:f>'光引擎参考'!K117</x:f>
        <x:v>0.41690879999999997</x:v>
      </x:c>
      <x:c r="D1121" s="230" t="n">
        <x:f>'光引擎参考'!I117*'光引擎参考'!J117</x:f>
        <x:v>0.41690879999999997</x:v>
      </x:c>
      <x:c r="E1121" s="230" t="n">
        <x:f>C1121-D1121</x:f>
        <x:v>0</x:v>
      </x:c>
      <x:c r="F1121" s="177" t="str">
        <x:f>IF(ABS(E1121)&lt;0.000001,"PASS","FAIL")</x:f>
        <x:v>PASS</x:v>
      </x:c>
      <x:c r="G1121" s="177" t="str">
        <x:v>参考模型不并入公司收入</x:v>
      </x:c>
      <x:c r="H1121" s="184"/>
    </x:row>
    <x:row r="1122">
      <x:c r="A1122" s="177" t="str">
        <x:v>DYN-OE-REAL-118</x:v>
      </x:c>
      <x:c r="B1122" s="177" t="str">
        <x:v>optimistic 2026 ocs兑现</x:v>
      </x:c>
      <x:c r="C1122" s="230" t="n">
        <x:f>'光引擎参考'!K118</x:f>
        <x:v>1.7919999999999998</x:v>
      </x:c>
      <x:c r="D1122" s="230" t="n">
        <x:f>'光引擎参考'!I118*'光引擎参考'!J118</x:f>
        <x:v>1.7919999999999998</x:v>
      </x:c>
      <x:c r="E1122" s="230" t="n">
        <x:f>C1122-D1122</x:f>
        <x:v>0</x:v>
      </x:c>
      <x:c r="F1122" s="177" t="str">
        <x:f>IF(ABS(E1122)&lt;0.000001,"PASS","FAIL")</x:f>
        <x:v>PASS</x:v>
      </x:c>
      <x:c r="G1122" s="177" t="str">
        <x:v>参考模型不并入公司收入</x:v>
      </x:c>
      <x:c r="H1122" s="184"/>
    </x:row>
    <x:row r="1123">
      <x:c r="A1123" s="177" t="str">
        <x:v>DYN-OE-REAL-119</x:v>
      </x:c>
      <x:c r="B1123" s="177" t="str">
        <x:v>optimistic 2026 vGroove兑现</x:v>
      </x:c>
      <x:c r="C1123" s="230" t="n">
        <x:f>'光引擎参考'!K119</x:f>
        <x:v>0.57480192</x:v>
      </x:c>
      <x:c r="D1123" s="230" t="n">
        <x:f>'光引擎参考'!I119*'光引擎参考'!J119</x:f>
        <x:v>0.57480192</x:v>
      </x:c>
      <x:c r="E1123" s="230" t="n">
        <x:f>C1123-D1123</x:f>
        <x:v>0</x:v>
      </x:c>
      <x:c r="F1123" s="177" t="str">
        <x:f>IF(ABS(E1123)&lt;0.000001,"PASS","FAIL")</x:f>
        <x:v>PASS</x:v>
      </x:c>
      <x:c r="G1123" s="177" t="str">
        <x:v>参考模型不并入公司收入</x:v>
      </x:c>
      <x:c r="H1123" s="184"/>
    </x:row>
    <x:row r="1124">
      <x:c r="A1124" s="177" t="str">
        <x:v>DYN-OE-REAL-120</x:v>
      </x:c>
      <x:c r="B1124" s="177" t="str">
        <x:v>optimistic 2026 fauPrism兑现</x:v>
      </x:c>
      <x:c r="C1124" s="230" t="n">
        <x:f>'光引擎参考'!K120</x:f>
        <x:v>0.7299072000000002</x:v>
      </x:c>
      <x:c r="D1124" s="230" t="n">
        <x:f>'光引擎参考'!I120*'光引擎参考'!J120</x:f>
        <x:v>0.7299072000000002</x:v>
      </x:c>
      <x:c r="E1124" s="230" t="n">
        <x:f>C1124-D1124</x:f>
        <x:v>0</x:v>
      </x:c>
      <x:c r="F1124" s="177" t="str">
        <x:f>IF(ABS(E1124)&lt;0.000001,"PASS","FAIL")</x:f>
        <x:v>PASS</x:v>
      </x:c>
      <x:c r="G1124" s="177" t="str">
        <x:v>参考模型不并入公司收入</x:v>
      </x:c>
      <x:c r="H1124" s="184"/>
    </x:row>
    <x:row r="1125">
      <x:c r="A1125" s="177" t="str">
        <x:v>DYN-OE-REAL-121</x:v>
      </x:c>
      <x:c r="B1125" s="177" t="str">
        <x:v>optimistic 2026 externalLaser兑现</x:v>
      </x:c>
      <x:c r="C1125" s="230" t="n">
        <x:f>'光引擎参考'!K121</x:f>
        <x:v>0.456192</x:v>
      </x:c>
      <x:c r="D1125" s="230" t="n">
        <x:f>'光引擎参考'!I121*'光引擎参考'!J121</x:f>
        <x:v>0.456192</x:v>
      </x:c>
      <x:c r="E1125" s="230" t="n">
        <x:f>C1125-D1125</x:f>
        <x:v>0</x:v>
      </x:c>
      <x:c r="F1125" s="177" t="str">
        <x:f>IF(ABS(E1125)&lt;0.000001,"PASS","FAIL")</x:f>
        <x:v>PASS</x:v>
      </x:c>
      <x:c r="G1125" s="177" t="str">
        <x:v>参考模型不并入公司收入</x:v>
      </x:c>
      <x:c r="H1125" s="184"/>
    </x:row>
    <x:row r="1126">
      <x:c r="A1126" s="177" t="str">
        <x:v>DYN-OE-REAL-122</x:v>
      </x:c>
      <x:c r="B1126" s="177" t="str">
        <x:v>optimistic 2026 equipment兑现</x:v>
      </x:c>
      <x:c r="C1126" s="230" t="n">
        <x:f>'光引擎参考'!K122</x:f>
        <x:v>0</x:v>
      </x:c>
      <x:c r="D1126" s="230" t="n">
        <x:f>'光引擎参考'!I122*'光引擎参考'!J122</x:f>
        <x:v>0</x:v>
      </x:c>
      <x:c r="E1126" s="230" t="n">
        <x:f>C1126-D1126</x:f>
        <x:v>0</x:v>
      </x:c>
      <x:c r="F1126" s="177" t="str">
        <x:f>IF(ABS(E1126)&lt;0.000001,"PASS","FAIL")</x:f>
        <x:v>PASS</x:v>
      </x:c>
      <x:c r="G1126" s="177" t="str">
        <x:v>参考模型不并入公司收入</x:v>
      </x:c>
      <x:c r="H1126" s="184"/>
    </x:row>
    <x:row r="1127">
      <x:c r="A1127" s="177" t="str">
        <x:v>DYN-OE-REAL-124</x:v>
      </x:c>
      <x:c r="B1127" s="177" t="str">
        <x:v>optimistic 2027 pluggable-800g兑现</x:v>
      </x:c>
      <x:c r="C1127" s="230" t="n">
        <x:f>'光引擎参考'!K124</x:f>
        <x:v>2.5839000000000003</x:v>
      </x:c>
      <x:c r="D1127" s="230" t="n">
        <x:f>'光引擎参考'!I124*'光引擎参考'!J124</x:f>
        <x:v>2.5839000000000003</x:v>
      </x:c>
      <x:c r="E1127" s="230" t="n">
        <x:f>C1127-D1127</x:f>
        <x:v>0</x:v>
      </x:c>
      <x:c r="F1127" s="177" t="str">
        <x:f>IF(ABS(E1127)&lt;0.000001,"PASS","FAIL")</x:f>
        <x:v>PASS</x:v>
      </x:c>
      <x:c r="G1127" s="177" t="str">
        <x:v>参考模型不并入公司收入</x:v>
      </x:c>
      <x:c r="H1127" s="184"/>
    </x:row>
    <x:row r="1128">
      <x:c r="A1128" s="177" t="str">
        <x:v>DYN-OE-REAL-125</x:v>
      </x:c>
      <x:c r="B1128" s="177" t="str">
        <x:v>optimistic 2027 pluggable-1p6t兑现</x:v>
      </x:c>
      <x:c r="C1128" s="230" t="n">
        <x:f>'光引擎参考'!K125</x:f>
        <x:v>3.193344000000001</x:v>
      </x:c>
      <x:c r="D1128" s="230" t="n">
        <x:f>'光引擎参考'!I125*'光引擎参考'!J125</x:f>
        <x:v>3.193344000000001</x:v>
      </x:c>
      <x:c r="E1128" s="230" t="n">
        <x:f>C1128-D1128</x:f>
        <x:v>0</x:v>
      </x:c>
      <x:c r="F1128" s="177" t="str">
        <x:f>IF(ABS(E1128)&lt;0.000001,"PASS","FAIL")</x:f>
        <x:v>PASS</x:v>
      </x:c>
      <x:c r="G1128" s="177" t="str">
        <x:v>参考模型不并入公司收入</x:v>
      </x:c>
      <x:c r="H1128" s="184"/>
    </x:row>
    <x:row r="1129">
      <x:c r="A1129" s="177" t="str">
        <x:v>DYN-OE-REAL-126</x:v>
      </x:c>
      <x:c r="B1129" s="177" t="str">
        <x:v>optimistic 2027 ocs兑现</x:v>
      </x:c>
      <x:c r="C1129" s="230" t="n">
        <x:f>'光引擎参考'!K126</x:f>
        <x:v>10.649600000000001</x:v>
      </x:c>
      <x:c r="D1129" s="230" t="n">
        <x:f>'光引擎参考'!I126*'光引擎参考'!J126</x:f>
        <x:v>10.649600000000001</x:v>
      </x:c>
      <x:c r="E1129" s="230" t="n">
        <x:f>C1129-D1129</x:f>
        <x:v>0</x:v>
      </x:c>
      <x:c r="F1129" s="177" t="str">
        <x:f>IF(ABS(E1129)&lt;0.000001,"PASS","FAIL")</x:f>
        <x:v>PASS</x:v>
      </x:c>
      <x:c r="G1129" s="177" t="str">
        <x:v>参考模型不并入公司收入</x:v>
      </x:c>
      <x:c r="H1129" s="184"/>
    </x:row>
    <x:row r="1130">
      <x:c r="A1130" s="177" t="str">
        <x:v>DYN-OE-REAL-127</x:v>
      </x:c>
      <x:c r="B1130" s="177" t="str">
        <x:v>optimistic 2027 vGroove兑现</x:v>
      </x:c>
      <x:c r="C1130" s="230" t="n">
        <x:f>'光引擎参考'!K127</x:f>
        <x:v>4.415488000000001</x:v>
      </x:c>
      <x:c r="D1130" s="230" t="n">
        <x:f>'光引擎参考'!I127*'光引擎参考'!J127</x:f>
        <x:v>4.415488000000001</x:v>
      </x:c>
      <x:c r="E1130" s="230" t="n">
        <x:f>C1130-D1130</x:f>
        <x:v>0</x:v>
      </x:c>
      <x:c r="F1130" s="177" t="str">
        <x:f>IF(ABS(E1130)&lt;0.000001,"PASS","FAIL")</x:f>
        <x:v>PASS</x:v>
      </x:c>
      <x:c r="G1130" s="177" t="str">
        <x:v>参考模型不并入公司收入</x:v>
      </x:c>
      <x:c r="H1130" s="184"/>
    </x:row>
    <x:row r="1131">
      <x:c r="A1131" s="177" t="str">
        <x:v>DYN-OE-REAL-128</x:v>
      </x:c>
      <x:c r="B1131" s="177" t="str">
        <x:v>optimistic 2027 fauPrism兑现</x:v>
      </x:c>
      <x:c r="C1131" s="230" t="n">
        <x:f>'光引擎参考'!K128</x:f>
        <x:v>5.109350400000001</x:v>
      </x:c>
      <x:c r="D1131" s="230" t="n">
        <x:f>'光引擎参考'!I128*'光引擎参考'!J128</x:f>
        <x:v>5.109350400000001</x:v>
      </x:c>
      <x:c r="E1131" s="230" t="n">
        <x:f>C1131-D1131</x:f>
        <x:v>0</x:v>
      </x:c>
      <x:c r="F1131" s="177" t="str">
        <x:f>IF(ABS(E1131)&lt;0.000001,"PASS","FAIL")</x:f>
        <x:v>PASS</x:v>
      </x:c>
      <x:c r="G1131" s="177" t="str">
        <x:v>参考模型不并入公司收入</x:v>
      </x:c>
      <x:c r="H1131" s="184"/>
    </x:row>
    <x:row r="1132">
      <x:c r="A1132" s="177" t="str">
        <x:v>DYN-OE-REAL-129</x:v>
      </x:c>
      <x:c r="B1132" s="177" t="str">
        <x:v>optimistic 2027 externalLaser兑现</x:v>
      </x:c>
      <x:c r="C1132" s="230" t="n">
        <x:f>'光引擎参考'!K129</x:f>
        <x:v>3.15392</x:v>
      </x:c>
      <x:c r="D1132" s="230" t="n">
        <x:f>'光引擎参考'!I129*'光引擎参考'!J129</x:f>
        <x:v>3.15392</x:v>
      </x:c>
      <x:c r="E1132" s="230" t="n">
        <x:f>C1132-D1132</x:f>
        <x:v>0</x:v>
      </x:c>
      <x:c r="F1132" s="177" t="str">
        <x:f>IF(ABS(E1132)&lt;0.000001,"PASS","FAIL")</x:f>
        <x:v>PASS</x:v>
      </x:c>
      <x:c r="G1132" s="177" t="str">
        <x:v>参考模型不并入公司收入</x:v>
      </x:c>
      <x:c r="H1132" s="184"/>
    </x:row>
    <x:row r="1133">
      <x:c r="A1133" s="177" t="str">
        <x:v>DYN-OE-REAL-130</x:v>
      </x:c>
      <x:c r="B1133" s="177" t="str">
        <x:v>optimistic 2027 equipment兑现</x:v>
      </x:c>
      <x:c r="C1133" s="230" t="n">
        <x:f>'光引擎参考'!K130</x:f>
        <x:v>0.46933333333333327</x:v>
      </x:c>
      <x:c r="D1133" s="230" t="n">
        <x:f>'光引擎参考'!I130*'光引擎参考'!J130</x:f>
        <x:v>0.46933333333333327</x:v>
      </x:c>
      <x:c r="E1133" s="230" t="n">
        <x:f>C1133-D1133</x:f>
        <x:v>0</x:v>
      </x:c>
      <x:c r="F1133" s="177" t="str">
        <x:f>IF(ABS(E1133)&lt;0.000001,"PASS","FAIL")</x:f>
        <x:v>PASS</x:v>
      </x:c>
      <x:c r="G1133" s="177" t="str">
        <x:v>参考模型不并入公司收入</x:v>
      </x:c>
      <x:c r="H1133" s="184"/>
    </x:row>
    <x:row r="1134">
      <x:c r="A1134" s="177" t="str">
        <x:v>DYN-OE-REAL-132</x:v>
      </x:c>
      <x:c r="B1134" s="177" t="str">
        <x:v>optimistic 2028 pluggable-800g兑现</x:v>
      </x:c>
      <x:c r="C1134" s="230" t="n">
        <x:f>'光引擎参考'!K132</x:f>
        <x:v>1.7641800000000005</x:v>
      </x:c>
      <x:c r="D1134" s="230" t="n">
        <x:f>'光引擎参考'!I132*'光引擎参考'!J132</x:f>
        <x:v>1.7641800000000005</x:v>
      </x:c>
      <x:c r="E1134" s="230" t="n">
        <x:f>C1134-D1134</x:f>
        <x:v>0</x:v>
      </x:c>
      <x:c r="F1134" s="177" t="str">
        <x:f>IF(ABS(E1134)&lt;0.000001,"PASS","FAIL")</x:f>
        <x:v>PASS</x:v>
      </x:c>
      <x:c r="G1134" s="177" t="str">
        <x:v>参考模型不并入公司收入</x:v>
      </x:c>
      <x:c r="H1134" s="184"/>
    </x:row>
    <x:row r="1135">
      <x:c r="A1135" s="177" t="str">
        <x:v>DYN-OE-REAL-133</x:v>
      </x:c>
      <x:c r="B1135" s="177" t="str">
        <x:v>optimistic 2028 pluggable-1p6t兑现</x:v>
      </x:c>
      <x:c r="C1135" s="230" t="n">
        <x:f>'光引擎参考'!K133</x:f>
        <x:v>5.186689200000001</x:v>
      </x:c>
      <x:c r="D1135" s="230" t="n">
        <x:f>'光引擎参考'!I133*'光引擎参考'!J133</x:f>
        <x:v>5.186689200000001</x:v>
      </x:c>
      <x:c r="E1135" s="230" t="n">
        <x:f>C1135-D1135</x:f>
        <x:v>0</x:v>
      </x:c>
      <x:c r="F1135" s="177" t="str">
        <x:f>IF(ABS(E1135)&lt;0.000001,"PASS","FAIL")</x:f>
        <x:v>PASS</x:v>
      </x:c>
      <x:c r="G1135" s="177" t="str">
        <x:v>参考模型不并入公司收入</x:v>
      </x:c>
      <x:c r="H1135" s="184"/>
    </x:row>
    <x:row r="1136">
      <x:c r="A1136" s="177" t="str">
        <x:v>DYN-OE-REAL-134</x:v>
      </x:c>
      <x:c r="B1136" s="177" t="str">
        <x:v>optimistic 2028 ocs兑现</x:v>
      </x:c>
      <x:c r="C1136" s="230" t="n">
        <x:f>'光引擎参考'!K134</x:f>
        <x:v>21.876940800000007</x:v>
      </x:c>
      <x:c r="D1136" s="230" t="n">
        <x:f>'光引擎参考'!I134*'光引擎参考'!J134</x:f>
        <x:v>21.876940800000007</x:v>
      </x:c>
      <x:c r="E1136" s="230" t="n">
        <x:f>C1136-D1136</x:f>
        <x:v>0</x:v>
      </x:c>
      <x:c r="F1136" s="177" t="str">
        <x:f>IF(ABS(E1136)&lt;0.000001,"PASS","FAIL")</x:f>
        <x:v>PASS</x:v>
      </x:c>
      <x:c r="G1136" s="177" t="str">
        <x:v>参考模型不并入公司收入</x:v>
      </x:c>
      <x:c r="H1136" s="184"/>
    </x:row>
    <x:row r="1137">
      <x:c r="A1137" s="177" t="str">
        <x:v>DYN-OE-REAL-135</x:v>
      </x:c>
      <x:c r="B1137" s="177" t="str">
        <x:v>optimistic 2028 vGroove兑现</x:v>
      </x:c>
      <x:c r="C1137" s="230" t="n">
        <x:f>'光引擎参考'!K135</x:f>
        <x:v>14.763365793792005</x:v>
      </x:c>
      <x:c r="D1137" s="230" t="n">
        <x:f>'光引擎参考'!I135*'光引擎参考'!J135</x:f>
        <x:v>14.763365793792005</x:v>
      </x:c>
      <x:c r="E1137" s="230" t="n">
        <x:f>C1137-D1137</x:f>
        <x:v>0</x:v>
      </x:c>
      <x:c r="F1137" s="177" t="str">
        <x:f>IF(ABS(E1137)&lt;0.000001,"PASS","FAIL")</x:f>
        <x:v>PASS</x:v>
      </x:c>
      <x:c r="G1137" s="177" t="str">
        <x:v>参考模型不并入公司收入</x:v>
      </x:c>
      <x:c r="H1137" s="184"/>
    </x:row>
    <x:row r="1138">
      <x:c r="A1138" s="177" t="str">
        <x:v>DYN-OE-REAL-136</x:v>
      </x:c>
      <x:c r="B1138" s="177" t="str">
        <x:v>optimistic 2028 fauPrism兑现</x:v>
      </x:c>
      <x:c r="C1138" s="230" t="n">
        <x:f>'光引擎参考'!K136</x:f>
        <x:v>15.687165542400002</x:v>
      </x:c>
      <x:c r="D1138" s="230" t="n">
        <x:f>'光引擎参考'!I136*'光引擎参考'!J136</x:f>
        <x:v>15.687165542400002</x:v>
      </x:c>
      <x:c r="E1138" s="230" t="n">
        <x:f>C1138-D1138</x:f>
        <x:v>0</x:v>
      </x:c>
      <x:c r="F1138" s="177" t="str">
        <x:f>IF(ABS(E1138)&lt;0.000001,"PASS","FAIL")</x:f>
        <x:v>PASS</x:v>
      </x:c>
      <x:c r="G1138" s="177" t="str">
        <x:v>参考模型不并入公司收入</x:v>
      </x:c>
      <x:c r="H1138" s="184"/>
    </x:row>
    <x:row r="1139">
      <x:c r="A1139" s="177" t="str">
        <x:v>DYN-OE-REAL-137</x:v>
      </x:c>
      <x:c r="B1139" s="177" t="str">
        <x:v>optimistic 2028 externalLaser兑现</x:v>
      </x:c>
      <x:c r="C1139" s="230" t="n">
        <x:f>'光引擎参考'!K137</x:f>
        <x:v>9.231541862400002</x:v>
      </x:c>
      <x:c r="D1139" s="230" t="n">
        <x:f>'光引擎参考'!I137*'光引擎参考'!J137</x:f>
        <x:v>9.231541862400002</x:v>
      </x:c>
      <x:c r="E1139" s="230" t="n">
        <x:f>C1139-D1139</x:f>
        <x:v>0</x:v>
      </x:c>
      <x:c r="F1139" s="177" t="str">
        <x:f>IF(ABS(E1139)&lt;0.000001,"PASS","FAIL")</x:f>
        <x:v>PASS</x:v>
      </x:c>
      <x:c r="G1139" s="177" t="str">
        <x:v>参考模型不并入公司收入</x:v>
      </x:c>
      <x:c r="H1139" s="184"/>
    </x:row>
    <x:row r="1140">
      <x:c r="A1140" s="177" t="str">
        <x:v>DYN-OE-REAL-138</x:v>
      </x:c>
      <x:c r="B1140" s="177" t="str">
        <x:v>optimistic 2028 equipment兑现</x:v>
      </x:c>
      <x:c r="C1140" s="230" t="n">
        <x:f>'光引擎参考'!K138</x:f>
        <x:v>2.9125958400000003</x:v>
      </x:c>
      <x:c r="D1140" s="230" t="n">
        <x:f>'光引擎参考'!I138*'光引擎参考'!J138</x:f>
        <x:v>2.9125958400000003</x:v>
      </x:c>
      <x:c r="E1140" s="230" t="n">
        <x:f>C1140-D1140</x:f>
        <x:v>0</x:v>
      </x:c>
      <x:c r="F1140" s="177" t="str">
        <x:f>IF(ABS(E1140)&lt;0.000001,"PASS","FAIL")</x:f>
        <x:v>PASS</x:v>
      </x:c>
      <x:c r="G1140" s="177" t="str">
        <x:v>参考模型不并入公司收入</x:v>
      </x:c>
      <x:c r="H1140" s="184"/>
    </x:row>
    <x:row r="1141">
      <x:c r="A1141" s="177" t="str">
        <x:v>DYN-OE-REAL-140</x:v>
      </x:c>
      <x:c r="B1141" s="177" t="str">
        <x:v>optimistic 2029 pluggable-800g兑现</x:v>
      </x:c>
      <x:c r="C1141" s="230" t="n">
        <x:f>'光引擎参考'!K140</x:f>
        <x:v>1.0161676800000004</x:v>
      </x:c>
      <x:c r="D1141" s="230" t="n">
        <x:f>'光引擎参考'!I140*'光引擎参考'!J140</x:f>
        <x:v>1.0161676800000004</x:v>
      </x:c>
      <x:c r="E1141" s="230" t="n">
        <x:f>C1141-D1141</x:f>
        <x:v>0</x:v>
      </x:c>
      <x:c r="F1141" s="177" t="str">
        <x:f>IF(ABS(E1141)&lt;0.000001,"PASS","FAIL")</x:f>
        <x:v>PASS</x:v>
      </x:c>
      <x:c r="G1141" s="177" t="str">
        <x:v>参考模型不并入公司收入</x:v>
      </x:c>
      <x:c r="H1141" s="184"/>
    </x:row>
    <x:row r="1142">
      <x:c r="A1142" s="177" t="str">
        <x:v>DYN-OE-REAL-141</x:v>
      </x:c>
      <x:c r="B1142" s="177" t="str">
        <x:v>optimistic 2029 pluggable-1p6t兑现</x:v>
      </x:c>
      <x:c r="C1142" s="230" t="n">
        <x:f>'光引擎参考'!K141</x:f>
        <x:v>6.44631372</x:v>
      </x:c>
      <x:c r="D1142" s="230" t="n">
        <x:f>'光引擎参考'!I141*'光引擎参考'!J141</x:f>
        <x:v>6.44631372</x:v>
      </x:c>
      <x:c r="E1142" s="230" t="n">
        <x:f>C1142-D1142</x:f>
        <x:v>0</x:v>
      </x:c>
      <x:c r="F1142" s="177" t="str">
        <x:f>IF(ABS(E1142)&lt;0.000001,"PASS","FAIL")</x:f>
        <x:v>PASS</x:v>
      </x:c>
      <x:c r="G1142" s="177" t="str">
        <x:v>参考模型不并入公司收入</x:v>
      </x:c>
      <x:c r="H1142" s="184"/>
    </x:row>
    <x:row r="1143">
      <x:c r="A1143" s="177" t="str">
        <x:v>DYN-OE-REAL-142</x:v>
      </x:c>
      <x:c r="B1143" s="177" t="str">
        <x:v>optimistic 2029 ocs兑现</x:v>
      </x:c>
      <x:c r="C1143" s="230" t="n">
        <x:f>'光引擎参考'!K142</x:f>
        <x:v>31.327617024000002</x:v>
      </x:c>
      <x:c r="D1143" s="230" t="n">
        <x:f>'光引擎参考'!I142*'光引擎参考'!J142</x:f>
        <x:v>31.327617024000002</x:v>
      </x:c>
      <x:c r="E1143" s="230" t="n">
        <x:f>C1143-D1143</x:f>
        <x:v>0</x:v>
      </x:c>
      <x:c r="F1143" s="177" t="str">
        <x:f>IF(ABS(E1143)&lt;0.000001,"PASS","FAIL")</x:f>
        <x:v>PASS</x:v>
      </x:c>
      <x:c r="G1143" s="177" t="str">
        <x:v>参考模型不并入公司收入</x:v>
      </x:c>
      <x:c r="H1143" s="184"/>
    </x:row>
    <x:row r="1144">
      <x:c r="A1144" s="177" t="str">
        <x:v>DYN-OE-REAL-143</x:v>
      </x:c>
      <x:c r="B1144" s="177" t="str">
        <x:v>optimistic 2029 vGroove兑现</x:v>
      </x:c>
      <x:c r="C1144" s="230" t="n">
        <x:f>'光引擎参考'!K143</x:f>
        <x:v>46.34981958942721</x:v>
      </x:c>
      <x:c r="D1144" s="230" t="n">
        <x:f>'光引擎参考'!I143*'光引擎参考'!J143</x:f>
        <x:v>46.34981958942721</x:v>
      </x:c>
      <x:c r="E1144" s="230" t="n">
        <x:f>C1144-D1144</x:f>
        <x:v>0</x:v>
      </x:c>
      <x:c r="F1144" s="177" t="str">
        <x:f>IF(ABS(E1144)&lt;0.000001,"PASS","FAIL")</x:f>
        <x:v>PASS</x:v>
      </x:c>
      <x:c r="G1144" s="177" t="str">
        <x:v>参考模型不并入公司收入</x:v>
      </x:c>
      <x:c r="H1144" s="184"/>
    </x:row>
    <x:row r="1145">
      <x:c r="A1145" s="177" t="str">
        <x:v>DYN-OE-REAL-144</x:v>
      </x:c>
      <x:c r="B1145" s="177" t="str">
        <x:v>optimistic 2029 fauPrism兑现</x:v>
      </x:c>
      <x:c r="C1145" s="230" t="n">
        <x:f>'光引擎参考'!K144</x:f>
        <x:v>45.14592817152001</x:v>
      </x:c>
      <x:c r="D1145" s="230" t="n">
        <x:f>'光引擎参考'!I144*'光引擎参考'!J144</x:f>
        <x:v>45.14592817152001</x:v>
      </x:c>
      <x:c r="E1145" s="230" t="n">
        <x:f>C1145-D1145</x:f>
        <x:v>0</x:v>
      </x:c>
      <x:c r="F1145" s="177" t="str">
        <x:f>IF(ABS(E1145)&lt;0.000001,"PASS","FAIL")</x:f>
        <x:v>PASS</x:v>
      </x:c>
      <x:c r="G1145" s="177" t="str">
        <x:v>参考模型不并入公司收入</x:v>
      </x:c>
      <x:c r="H1145" s="184"/>
    </x:row>
    <x:row r="1146">
      <x:c r="A1146" s="177" t="str">
        <x:v>DYN-OE-REAL-145</x:v>
      </x:c>
      <x:c r="B1146" s="177" t="str">
        <x:v>optimistic 2029 externalLaser兑现</x:v>
      </x:c>
      <x:c r="C1146" s="230" t="n">
        <x:f>'光引擎参考'!K145</x:f>
        <x:v>25.54553548800001</x:v>
      </x:c>
      <x:c r="D1146" s="230" t="n">
        <x:f>'光引擎参考'!I145*'光引擎参考'!J145</x:f>
        <x:v>25.54553548800001</x:v>
      </x:c>
      <x:c r="E1146" s="230" t="n">
        <x:f>C1146-D1146</x:f>
        <x:v>0</x:v>
      </x:c>
      <x:c r="F1146" s="177" t="str">
        <x:f>IF(ABS(E1146)&lt;0.000001,"PASS","FAIL")</x:f>
        <x:v>PASS</x:v>
      </x:c>
      <x:c r="G1146" s="177" t="str">
        <x:v>参考模型不并入公司收入</x:v>
      </x:c>
      <x:c r="H1146" s="184"/>
    </x:row>
    <x:row r="1147">
      <x:c r="A1147" s="177" t="str">
        <x:v>DYN-OE-REAL-146</x:v>
      </x:c>
      <x:c r="B1147" s="177" t="str">
        <x:v>optimistic 2029 equipment兑现</x:v>
      </x:c>
      <x:c r="C1147" s="230" t="n">
        <x:f>'光引擎参考'!K146</x:f>
        <x:v>10.3483072</x:v>
      </x:c>
      <x:c r="D1147" s="230" t="n">
        <x:f>'光引擎参考'!I146*'光引擎参考'!J146</x:f>
        <x:v>10.3483072</x:v>
      </x:c>
      <x:c r="E1147" s="230" t="n">
        <x:f>C1147-D1147</x:f>
        <x:v>0</x:v>
      </x:c>
      <x:c r="F1147" s="177" t="str">
        <x:f>IF(ABS(E1147)&lt;0.000001,"PASS","FAIL")</x:f>
        <x:v>PASS</x:v>
      </x:c>
      <x:c r="G1147" s="177" t="str">
        <x:v>参考模型不并入公司收入</x:v>
      </x:c>
      <x:c r="H1147" s="184"/>
    </x:row>
    <x:row r="1148">
      <x:c r="A1148" s="177" t="str">
        <x:v>DYN-OE-REAL-148</x:v>
      </x:c>
      <x:c r="B1148" s="177" t="str">
        <x:v>optimistic 2030 pluggable-800g兑现</x:v>
      </x:c>
      <x:c r="C1148" s="230" t="n">
        <x:f>'光引擎参考'!K148</x:f>
        <x:v>0.5144348880000001</x:v>
      </x:c>
      <x:c r="D1148" s="230" t="n">
        <x:f>'光引擎参考'!I148*'光引擎参考'!J148</x:f>
        <x:v>0.5144348880000001</x:v>
      </x:c>
      <x:c r="E1148" s="230" t="n">
        <x:f>C1148-D1148</x:f>
        <x:v>0</x:v>
      </x:c>
      <x:c r="F1148" s="177" t="str">
        <x:f>IF(ABS(E1148)&lt;0.000001,"PASS","FAIL")</x:f>
        <x:v>PASS</x:v>
      </x:c>
      <x:c r="G1148" s="177" t="str">
        <x:v>参考模型不并入公司收入</x:v>
      </x:c>
      <x:c r="H1148" s="184"/>
    </x:row>
    <x:row r="1149">
      <x:c r="A1149" s="177" t="str">
        <x:v>DYN-OE-REAL-149</x:v>
      </x:c>
      <x:c r="B1149" s="177" t="str">
        <x:v>optimistic 2030 pluggable-1p6t兑现</x:v>
      </x:c>
      <x:c r="C1149" s="230" t="n">
        <x:f>'光引擎参考'!K149</x:f>
        <x:v>6.401856384000001</x:v>
      </x:c>
      <x:c r="D1149" s="230" t="n">
        <x:f>'光引擎参考'!I149*'光引擎参考'!J149</x:f>
        <x:v>6.401856384000001</x:v>
      </x:c>
      <x:c r="E1149" s="230" t="n">
        <x:f>C1149-D1149</x:f>
        <x:v>0</x:v>
      </x:c>
      <x:c r="F1149" s="177" t="str">
        <x:f>IF(ABS(E1149)&lt;0.000001,"PASS","FAIL")</x:f>
        <x:v>PASS</x:v>
      </x:c>
      <x:c r="G1149" s="177" t="str">
        <x:v>参考模型不并入公司收入</x:v>
      </x:c>
      <x:c r="H1149" s="184"/>
    </x:row>
    <x:row r="1150">
      <x:c r="A1150" s="177" t="str">
        <x:v>DYN-OE-REAL-150</x:v>
      </x:c>
      <x:c r="B1150" s="177" t="str">
        <x:v>optimistic 2030 ocs兑现</x:v>
      </x:c>
      <x:c r="C1150" s="230" t="n">
        <x:f>'光引擎参考'!K150</x:f>
        <x:v>38.24485632000001</x:v>
      </x:c>
      <x:c r="D1150" s="230" t="n">
        <x:f>'光引擎参考'!I150*'光引擎参考'!J150</x:f>
        <x:v>38.24485632000001</x:v>
      </x:c>
      <x:c r="E1150" s="230" t="n">
        <x:f>C1150-D1150</x:f>
        <x:v>0</x:v>
      </x:c>
      <x:c r="F1150" s="177" t="str">
        <x:f>IF(ABS(E1150)&lt;0.000001,"PASS","FAIL")</x:f>
        <x:v>PASS</x:v>
      </x:c>
      <x:c r="G1150" s="177" t="str">
        <x:v>参考模型不并入公司收入</x:v>
      </x:c>
      <x:c r="H1150" s="184"/>
    </x:row>
    <x:row r="1151">
      <x:c r="A1151" s="177" t="str">
        <x:v>DYN-OE-REAL-151</x:v>
      </x:c>
      <x:c r="B1151" s="177" t="str">
        <x:v>optimistic 2030 vGroove兑现</x:v>
      </x:c>
      <x:c r="C1151" s="230" t="n">
        <x:f>'光引擎参考'!K151</x:f>
        <x:v>105.60365718110214</x:v>
      </x:c>
      <x:c r="D1151" s="230" t="n">
        <x:f>'光引擎参考'!I151*'光引擎参考'!J151</x:f>
        <x:v>105.60365718110214</x:v>
      </x:c>
      <x:c r="E1151" s="230" t="n">
        <x:f>C1151-D1151</x:f>
        <x:v>0</x:v>
      </x:c>
      <x:c r="F1151" s="177" t="str">
        <x:f>IF(ABS(E1151)&lt;0.000001,"PASS","FAIL")</x:f>
        <x:v>PASS</x:v>
      </x:c>
      <x:c r="G1151" s="177" t="str">
        <x:v>参考模型不并入公司收入</x:v>
      </x:c>
      <x:c r="H1151" s="184"/>
    </x:row>
    <x:row r="1152">
      <x:c r="A1152" s="177" t="str">
        <x:v>DYN-OE-REAL-152</x:v>
      </x:c>
      <x:c r="B1152" s="177" t="str">
        <x:v>optimistic 2030 fauPrism兑现</x:v>
      </x:c>
      <x:c r="C1152" s="230" t="n">
        <x:f>'光引擎参考'!K152</x:f>
        <x:v>94.94834311987202</x:v>
      </x:c>
      <x:c r="D1152" s="230" t="n">
        <x:f>'光引擎参考'!I152*'光引擎参考'!J152</x:f>
        <x:v>94.94834311987202</x:v>
      </x:c>
      <x:c r="E1152" s="230" t="n">
        <x:f>C1152-D1152</x:f>
        <x:v>0</x:v>
      </x:c>
      <x:c r="F1152" s="177" t="str">
        <x:f>IF(ABS(E1152)&lt;0.000001,"PASS","FAIL")</x:f>
        <x:v>PASS</x:v>
      </x:c>
      <x:c r="G1152" s="177" t="str">
        <x:v>参考模型不并入公司收入</x:v>
      </x:c>
      <x:c r="H1152" s="184"/>
    </x:row>
    <x:row r="1153">
      <x:c r="A1153" s="177" t="str">
        <x:v>DYN-OE-REAL-153</x:v>
      </x:c>
      <x:c r="B1153" s="177" t="str">
        <x:v>optimistic 2030 externalLaser兑现</x:v>
      </x:c>
      <x:c r="C1153" s="230" t="n">
        <x:f>'光引擎参考'!K153</x:f>
        <x:v>51.57687774412801</x:v>
      </x:c>
      <x:c r="D1153" s="230" t="n">
        <x:f>'光引擎参考'!I153*'光引擎参考'!J153</x:f>
        <x:v>51.57687774412801</x:v>
      </x:c>
      <x:c r="E1153" s="230" t="n">
        <x:f>C1153-D1153</x:f>
        <x:v>0</x:v>
      </x:c>
      <x:c r="F1153" s="177" t="str">
        <x:f>IF(ABS(E1153)&lt;0.000001,"PASS","FAIL")</x:f>
        <x:v>PASS</x:v>
      </x:c>
      <x:c r="G1153" s="177" t="str">
        <x:v>参考模型不并入公司收入</x:v>
      </x:c>
      <x:c r="H1153" s="184"/>
    </x:row>
    <x:row r="1154">
      <x:c r="A1154" s="177" t="str">
        <x:v>DYN-OE-REAL-154</x:v>
      </x:c>
      <x:c r="B1154" s="177" t="str">
        <x:v>optimistic 2030 equipment兑现</x:v>
      </x:c>
      <x:c r="C1154" s="230" t="n">
        <x:f>'光引擎参考'!K154</x:f>
        <x:v>26.600407680000004</x:v>
      </x:c>
      <x:c r="D1154" s="230" t="n">
        <x:f>'光引擎参考'!I154*'光引擎参考'!J154</x:f>
        <x:v>26.600407680000004</x:v>
      </x:c>
      <x:c r="E1154" s="230" t="n">
        <x:f>C1154-D1154</x:f>
        <x:v>0</x:v>
      </x:c>
      <x:c r="F1154" s="177" t="str">
        <x:f>IF(ABS(E1154)&lt;0.000001,"PASS","FAIL")</x:f>
        <x:v>PASS</x:v>
      </x:c>
      <x:c r="G1154" s="177" t="str">
        <x:v>参考模型不并入公司收入</x:v>
      </x:c>
      <x:c r="H1154" s="184"/>
    </x:row>
    <x:row r="1155">
      <x:c r="A1155" s="177" t="str">
        <x:v>R9-DYN-RD-688167-2023A</x:v>
      </x:c>
      <x:c r="B1155" s="177" t="str">
        <x:v>炬光科技2023A研发投入勾稽</x:v>
      </x:c>
      <x:c r="C1155" s="230" t="n">
        <x:f>'研发与资产'!E42</x:f>
        <x:v>0.7860051406</x:v>
      </x:c>
      <x:c r="D1155" s="230" t="n">
        <x:f>SUM('研发与资产'!F42:G42)</x:f>
        <x:v>0.7860051406</x:v>
      </x:c>
      <x:c r="E1155" s="230" t="n">
        <x:f>C1155-D1155</x:f>
        <x:v>0</x:v>
      </x:c>
      <x:c r="F1155" s="177" t="str">
        <x:f>IF(ABS(E1155)&lt;0.000001,"PASS","FAIL")</x:f>
        <x:v>PASS</x:v>
      </x:c>
      <x:c r="G1155" s="177" t="str">
        <x:v>研发投入＝费用化＋资本化</x:v>
      </x:c>
      <x:c r="H1155" s="184"/>
    </x:row>
    <x:row r="1156">
      <x:c r="A1156" s="177" t="str">
        <x:v>R9-DYN-RD-688167-2024A</x:v>
      </x:c>
      <x:c r="B1156" s="177" t="str">
        <x:v>炬光科技2024A研发投入勾稽</x:v>
      </x:c>
      <x:c r="C1156" s="230" t="n">
        <x:f>'研发与资产'!E43</x:f>
        <x:v>0.9507855381</x:v>
      </x:c>
      <x:c r="D1156" s="230" t="n">
        <x:f>SUM('研发与资产'!F43:G43)</x:f>
        <x:v>0.9507855381</x:v>
      </x:c>
      <x:c r="E1156" s="230" t="n">
        <x:f>C1156-D1156</x:f>
        <x:v>0</x:v>
      </x:c>
      <x:c r="F1156" s="177" t="str">
        <x:f>IF(ABS(E1156)&lt;0.000001,"PASS","FAIL")</x:f>
        <x:v>PASS</x:v>
      </x:c>
      <x:c r="G1156" s="177" t="str">
        <x:v>研发投入＝费用化＋资本化</x:v>
      </x:c>
      <x:c r="H1156" s="184"/>
    </x:row>
    <x:row r="1157">
      <x:c r="A1157" s="177" t="str">
        <x:v>R9-DYN-RD-688167-2025A</x:v>
      </x:c>
      <x:c r="B1157" s="177" t="str">
        <x:v>炬光科技2025A研发投入勾稽</x:v>
      </x:c>
      <x:c r="C1157" s="230" t="n">
        <x:f>'研发与资产'!E44</x:f>
        <x:v>1.7122609469999999</x:v>
      </x:c>
      <x:c r="D1157" s="230" t="n">
        <x:f>SUM('研发与资产'!F44:G44)</x:f>
        <x:v>1.7122609469999999</x:v>
      </x:c>
      <x:c r="E1157" s="230" t="n">
        <x:f>C1157-D1157</x:f>
        <x:v>0</x:v>
      </x:c>
      <x:c r="F1157" s="177" t="str">
        <x:f>IF(ABS(E1157)&lt;0.000001,"PASS","FAIL")</x:f>
        <x:v>PASS</x:v>
      </x:c>
      <x:c r="G1157" s="177" t="str">
        <x:v>研发投入＝费用化＋资本化</x:v>
      </x:c>
      <x:c r="H1157" s="184"/>
    </x:row>
    <x:row r="1158">
      <x:c r="A1158" s="177" t="str">
        <x:v>R9-DYN-RD-688167-2025H1</x:v>
      </x:c>
      <x:c r="B1158" s="177" t="str">
        <x:v>炬光科技2025H1研发投入勾稽</x:v>
      </x:c>
      <x:c r="C1158" s="230" t="n">
        <x:f>'研发与资产'!E45</x:f>
        <x:v>0.9391072865000001</x:v>
      </x:c>
      <x:c r="D1158" s="230" t="n">
        <x:f>SUM('研发与资产'!F45:G45)</x:f>
        <x:v>0.9391072865000001</x:v>
      </x:c>
      <x:c r="E1158" s="230" t="n">
        <x:f>C1158-D1158</x:f>
        <x:v>0</x:v>
      </x:c>
      <x:c r="F1158" s="177" t="str">
        <x:f>IF(ABS(E1158)&lt;0.000001,"PASS","FAIL")</x:f>
        <x:v>PASS</x:v>
      </x:c>
      <x:c r="G1158" s="177" t="str">
        <x:v>研发投入＝费用化＋资本化</x:v>
      </x:c>
      <x:c r="H1158" s="184"/>
    </x:row>
    <x:row r="1159">
      <x:c r="A1159" s="177" t="str">
        <x:v>R9-DYN-RD-688167-2026H1</x:v>
      </x:c>
      <x:c r="B1159" s="177" t="str">
        <x:v>炬光科技2026H1研发投入勾稽</x:v>
      </x:c>
      <x:c r="C1159" s="230" t="n">
        <x:f>'研发与资产'!E46</x:f>
        <x:v>0.8908166665</x:v>
      </x:c>
      <x:c r="D1159" s="230" t="n">
        <x:f>SUM('研发与资产'!F46:G46)</x:f>
        <x:v>0.8908166665</x:v>
      </x:c>
      <x:c r="E1159" s="230" t="n">
        <x:f>C1159-D1159</x:f>
        <x:v>0</x:v>
      </x:c>
      <x:c r="F1159" s="177" t="str">
        <x:f>IF(ABS(E1159)&lt;0.000001,"PASS","FAIL")</x:f>
        <x:v>PASS</x:v>
      </x:c>
      <x:c r="G1159" s="177" t="str">
        <x:v>研发投入＝费用化＋资本化</x:v>
      </x:c>
      <x:c r="H1159" s="184"/>
    </x:row>
    <x:row r="1160">
      <x:c r="A1160" s="177" t="str">
        <x:v>R9-DYN-RD-688195-2023A</x:v>
      </x:c>
      <x:c r="B1160" s="177" t="str">
        <x:v>腾景科技2023A研发投入勾稽</x:v>
      </x:c>
      <x:c r="C1160" s="230" t="n">
        <x:f>'研发与资产'!E47</x:f>
        <x:v>0.34150129</x:v>
      </x:c>
      <x:c r="D1160" s="230" t="n">
        <x:f>SUM('研发与资产'!F47:G47)</x:f>
        <x:v>0.34150129</x:v>
      </x:c>
      <x:c r="E1160" s="230" t="n">
        <x:f>C1160-D1160</x:f>
        <x:v>0</x:v>
      </x:c>
      <x:c r="F1160" s="177" t="str">
        <x:f>IF(ABS(E1160)&lt;0.000001,"PASS","FAIL")</x:f>
        <x:v>PASS</x:v>
      </x:c>
      <x:c r="G1160" s="177" t="str">
        <x:v>研发投入＝费用化＋资本化</x:v>
      </x:c>
      <x:c r="H1160" s="184"/>
    </x:row>
    <x:row r="1161">
      <x:c r="A1161" s="177" t="str">
        <x:v>R9-DYN-RD-688195-2024A</x:v>
      </x:c>
      <x:c r="B1161" s="177" t="str">
        <x:v>腾景科技2024A研发投入勾稽</x:v>
      </x:c>
      <x:c r="C1161" s="230" t="n">
        <x:f>'研发与资产'!E48</x:f>
        <x:v>0.4722379437</x:v>
      </x:c>
      <x:c r="D1161" s="230" t="n">
        <x:f>SUM('研发与资产'!F48:G48)</x:f>
        <x:v>0.4722379437</x:v>
      </x:c>
      <x:c r="E1161" s="230" t="n">
        <x:f>C1161-D1161</x:f>
        <x:v>0</x:v>
      </x:c>
      <x:c r="F1161" s="177" t="str">
        <x:f>IF(ABS(E1161)&lt;0.000001,"PASS","FAIL")</x:f>
        <x:v>PASS</x:v>
      </x:c>
      <x:c r="G1161" s="177" t="str">
        <x:v>研发投入＝费用化＋资本化</x:v>
      </x:c>
      <x:c r="H1161" s="184"/>
    </x:row>
    <x:row r="1162">
      <x:c r="A1162" s="177" t="str">
        <x:v>R9-DYN-RD-688195-2025A</x:v>
      </x:c>
      <x:c r="B1162" s="177" t="str">
        <x:v>腾景科技2025A研发投入勾稽</x:v>
      </x:c>
      <x:c r="C1162" s="230" t="n">
        <x:f>'研发与资产'!E49</x:f>
        <x:v>0.6950420818999999</x:v>
      </x:c>
      <x:c r="D1162" s="230" t="n">
        <x:f>SUM('研发与资产'!F49:G49)</x:f>
        <x:v>0.6950420818999999</x:v>
      </x:c>
      <x:c r="E1162" s="230" t="n">
        <x:f>C1162-D1162</x:f>
        <x:v>0</x:v>
      </x:c>
      <x:c r="F1162" s="177" t="str">
        <x:f>IF(ABS(E1162)&lt;0.000001,"PASS","FAIL")</x:f>
        <x:v>PASS</x:v>
      </x:c>
      <x:c r="G1162" s="177" t="str">
        <x:v>研发投入＝费用化＋资本化</x:v>
      </x:c>
      <x:c r="H1162" s="184"/>
    </x:row>
    <x:row r="1163">
      <x:c r="A1163" s="177" t="str">
        <x:v>R9-DYN-RD-688195-2025H1</x:v>
      </x:c>
      <x:c r="B1163" s="177" t="str">
        <x:v>腾景科技2025H1研发投入勾稽</x:v>
      </x:c>
      <x:c r="C1163" s="230" t="n">
        <x:f>'研发与资产'!E50</x:f>
        <x:v>0.2910766641</x:v>
      </x:c>
      <x:c r="D1163" s="230" t="n">
        <x:f>SUM('研发与资产'!F50:G50)</x:f>
        <x:v>0.2910766641</x:v>
      </x:c>
      <x:c r="E1163" s="230" t="n">
        <x:f>C1163-D1163</x:f>
        <x:v>0</x:v>
      </x:c>
      <x:c r="F1163" s="177" t="str">
        <x:f>IF(ABS(E1163)&lt;0.000001,"PASS","FAIL")</x:f>
        <x:v>PASS</x:v>
      </x:c>
      <x:c r="G1163" s="177" t="str">
        <x:v>研发投入＝费用化＋资本化</x:v>
      </x:c>
      <x:c r="H1163" s="184"/>
    </x:row>
    <x:row r="1164">
      <x:c r="A1164" s="177" t="str">
        <x:v>R9-DYN-RD-688195-2026H1</x:v>
      </x:c>
      <x:c r="B1164" s="177" t="str">
        <x:v>腾景科技2026H1研发投入勾稽</x:v>
      </x:c>
      <x:c r="C1164" s="230" t="n">
        <x:f>'研发与资产'!E51</x:f>
        <x:v>0.4902781282</x:v>
      </x:c>
      <x:c r="D1164" s="230" t="n">
        <x:f>SUM('研发与资产'!F51:G51)</x:f>
        <x:v>0.4902781282</x:v>
      </x:c>
      <x:c r="E1164" s="230" t="n">
        <x:f>C1164-D1164</x:f>
        <x:v>0</x:v>
      </x:c>
      <x:c r="F1164" s="177" t="str">
        <x:f>IF(ABS(E1164)&lt;0.000001,"PASS","FAIL")</x:f>
        <x:v>PASS</x:v>
      </x:c>
      <x:c r="G1164" s="177" t="str">
        <x:v>研发投入＝费用化＋资本化</x:v>
      </x:c>
      <x:c r="H1164" s="184"/>
    </x:row>
    <x:row r="1165">
      <x:c r="A1165" s="177" t="str">
        <x:v>R9-DYN-RD-688127-2023A</x:v>
      </x:c>
      <x:c r="B1165" s="177" t="str">
        <x:v>蓝特光学2023A研发投入勾稽</x:v>
      </x:c>
      <x:c r="C1165" s="230" t="n">
        <x:f>'研发与资产'!E52</x:f>
        <x:v>0.6557537532</x:v>
      </x:c>
      <x:c r="D1165" s="230" t="n">
        <x:f>SUM('研发与资产'!F52:G52)</x:f>
        <x:v>0.6557537532</x:v>
      </x:c>
      <x:c r="E1165" s="230" t="n">
        <x:f>C1165-D1165</x:f>
        <x:v>0</x:v>
      </x:c>
      <x:c r="F1165" s="177" t="str">
        <x:f>IF(ABS(E1165)&lt;0.000001,"PASS","FAIL")</x:f>
        <x:v>PASS</x:v>
      </x:c>
      <x:c r="G1165" s="177" t="str">
        <x:v>研发投入＝费用化＋资本化</x:v>
      </x:c>
      <x:c r="H1165" s="184"/>
    </x:row>
    <x:row r="1166">
      <x:c r="A1166" s="177" t="str">
        <x:v>R9-DYN-RD-688127-2024A</x:v>
      </x:c>
      <x:c r="B1166" s="177" t="str">
        <x:v>蓝特光学2024A研发投入勾稽</x:v>
      </x:c>
      <x:c r="C1166" s="230" t="n">
        <x:f>'研发与资产'!E53</x:f>
        <x:v>1.165212305</x:v>
      </x:c>
      <x:c r="D1166" s="230" t="n">
        <x:f>SUM('研发与资产'!F53:G53)</x:f>
        <x:v>1.165212305</x:v>
      </x:c>
      <x:c r="E1166" s="230" t="n">
        <x:f>C1166-D1166</x:f>
        <x:v>0</x:v>
      </x:c>
      <x:c r="F1166" s="177" t="str">
        <x:f>IF(ABS(E1166)&lt;0.000001,"PASS","FAIL")</x:f>
        <x:v>PASS</x:v>
      </x:c>
      <x:c r="G1166" s="177" t="str">
        <x:v>研发投入＝费用化＋资本化</x:v>
      </x:c>
      <x:c r="H1166" s="184"/>
    </x:row>
    <x:row r="1167">
      <x:c r="A1167" s="177" t="str">
        <x:v>R9-DYN-RD-688127-2025A</x:v>
      </x:c>
      <x:c r="B1167" s="177" t="str">
        <x:v>蓝特光学2025A研发投入勾稽</x:v>
      </x:c>
      <x:c r="C1167" s="230" t="n">
        <x:f>'研发与资产'!E54</x:f>
        <x:v>1.2277040341</x:v>
      </x:c>
      <x:c r="D1167" s="230" t="n">
        <x:f>SUM('研发与资产'!F54:G54)</x:f>
        <x:v>1.2277040341</x:v>
      </x:c>
      <x:c r="E1167" s="230" t="n">
        <x:f>C1167-D1167</x:f>
        <x:v>0</x:v>
      </x:c>
      <x:c r="F1167" s="177" t="str">
        <x:f>IF(ABS(E1167)&lt;0.000001,"PASS","FAIL")</x:f>
        <x:v>PASS</x:v>
      </x:c>
      <x:c r="G1167" s="177" t="str">
        <x:v>研发投入＝费用化＋资本化</x:v>
      </x:c>
      <x:c r="H1167" s="184"/>
    </x:row>
    <x:row r="1168">
      <x:c r="A1168" s="177" t="str">
        <x:v>R9-DYN-RD-688127-2025H1</x:v>
      </x:c>
      <x:c r="B1168" s="177" t="str">
        <x:v>蓝特光学2025H1研发投入勾稽</x:v>
      </x:c>
      <x:c r="C1168" s="230" t="n">
        <x:f>'研发与资产'!E55</x:f>
        <x:v>0.5623236682</x:v>
      </x:c>
      <x:c r="D1168" s="230" t="n">
        <x:f>SUM('研发与资产'!F55:G55)</x:f>
        <x:v>0.5623236682</x:v>
      </x:c>
      <x:c r="E1168" s="230" t="n">
        <x:f>C1168-D1168</x:f>
        <x:v>0</x:v>
      </x:c>
      <x:c r="F1168" s="177" t="str">
        <x:f>IF(ABS(E1168)&lt;0.000001,"PASS","FAIL")</x:f>
        <x:v>PASS</x:v>
      </x:c>
      <x:c r="G1168" s="177" t="str">
        <x:v>研发投入＝费用化＋资本化</x:v>
      </x:c>
      <x:c r="H1168" s="184"/>
    </x:row>
    <x:row r="1169">
      <x:c r="A1169" s="177" t="str">
        <x:v>R9-DYN-RD-688127-2026H1</x:v>
      </x:c>
      <x:c r="B1169" s="177" t="str">
        <x:v>蓝特光学2026H1研发投入勾稽</x:v>
      </x:c>
      <x:c r="C1169" s="230" t="n">
        <x:f>'研发与资产'!E56</x:f>
        <x:v>0.7669862279999999</x:v>
      </x:c>
      <x:c r="D1169" s="230" t="n">
        <x:f>SUM('研发与资产'!F56:G56)</x:f>
        <x:v>0.7669862279999999</x:v>
      </x:c>
      <x:c r="E1169" s="230" t="n">
        <x:f>C1169-D1169</x:f>
        <x:v>0</x:v>
      </x:c>
      <x:c r="F1169" s="177" t="str">
        <x:f>IF(ABS(E1169)&lt;0.000001,"PASS","FAIL")</x:f>
        <x:v>PASS</x:v>
      </x:c>
      <x:c r="G1169" s="177" t="str">
        <x:v>研发投入＝费用化＋资本化</x:v>
      </x:c>
      <x:c r="H1169" s="184"/>
    </x:row>
    <x:row r="1170">
      <x:c r="A1170" s="177" t="str">
        <x:v>R9-DYN-RD-002273-2023A</x:v>
      </x:c>
      <x:c r="B1170" s="177" t="str">
        <x:v>水晶光电2023A研发投入勾稽</x:v>
      </x:c>
      <x:c r="C1170" s="230" t="n">
        <x:f>'研发与资产'!E57</x:f>
        <x:v>4.2388671296</x:v>
      </x:c>
      <x:c r="D1170" s="230" t="n">
        <x:f>SUM('研发与资产'!F57:G57)</x:f>
        <x:v>4.2388671296</x:v>
      </x:c>
      <x:c r="E1170" s="230" t="n">
        <x:f>C1170-D1170</x:f>
        <x:v>0</x:v>
      </x:c>
      <x:c r="F1170" s="177" t="str">
        <x:f>IF(ABS(E1170)&lt;0.000001,"PASS","FAIL")</x:f>
        <x:v>PASS</x:v>
      </x:c>
      <x:c r="G1170" s="177" t="str">
        <x:v>研发投入＝费用化＋资本化</x:v>
      </x:c>
      <x:c r="H1170" s="184"/>
    </x:row>
    <x:row r="1171">
      <x:c r="A1171" s="177" t="str">
        <x:v>R9-DYN-RD-002273-2024A</x:v>
      </x:c>
      <x:c r="B1171" s="177" t="str">
        <x:v>水晶光电2024A研发投入勾稽</x:v>
      </x:c>
      <x:c r="C1171" s="230" t="n">
        <x:f>'研发与资产'!E58</x:f>
        <x:v>4.0779477043</x:v>
      </x:c>
      <x:c r="D1171" s="230" t="n">
        <x:f>SUM('研发与资产'!F58:G58)</x:f>
        <x:v>4.0779477043</x:v>
      </x:c>
      <x:c r="E1171" s="230" t="n">
        <x:f>C1171-D1171</x:f>
        <x:v>0</x:v>
      </x:c>
      <x:c r="F1171" s="177" t="str">
        <x:f>IF(ABS(E1171)&lt;0.000001,"PASS","FAIL")</x:f>
        <x:v>PASS</x:v>
      </x:c>
      <x:c r="G1171" s="177" t="str">
        <x:v>研发投入＝费用化＋资本化</x:v>
      </x:c>
      <x:c r="H1171" s="184"/>
    </x:row>
    <x:row r="1172">
      <x:c r="A1172" s="177" t="str">
        <x:v>R9-DYN-RD-002273-2025A</x:v>
      </x:c>
      <x:c r="B1172" s="177" t="str">
        <x:v>水晶光电2025A研发投入勾稽</x:v>
      </x:c>
      <x:c r="C1172" s="230" t="n">
        <x:f>'研发与资产'!E59</x:f>
        <x:v>4.1476318993</x:v>
      </x:c>
      <x:c r="D1172" s="230" t="n">
        <x:f>SUM('研发与资产'!F59:G59)</x:f>
        <x:v>4.1476318993</x:v>
      </x:c>
      <x:c r="E1172" s="230" t="n">
        <x:f>C1172-D1172</x:f>
        <x:v>0</x:v>
      </x:c>
      <x:c r="F1172" s="177" t="str">
        <x:f>IF(ABS(E1172)&lt;0.000001,"PASS","FAIL")</x:f>
        <x:v>PASS</x:v>
      </x:c>
      <x:c r="G1172" s="177" t="str">
        <x:v>研发投入＝费用化＋资本化</x:v>
      </x:c>
      <x:c r="H1172" s="184"/>
    </x:row>
    <x:row r="1173">
      <x:c r="A1173" s="177" t="str">
        <x:v>R9-DYN-RD-002273-2025H1</x:v>
      </x:c>
      <x:c r="B1173" s="177" t="str">
        <x:v>水晶光电2025H1研发投入勾稽</x:v>
      </x:c>
      <x:c r="C1173" s="230" t="n">
        <x:f>'研发与资产'!E60</x:f>
        <x:v>1.9362078243</x:v>
      </x:c>
      <x:c r="D1173" s="230" t="n">
        <x:f>SUM('研发与资产'!F60:G60)</x:f>
        <x:v>1.9362078243</x:v>
      </x:c>
      <x:c r="E1173" s="230" t="n">
        <x:f>C1173-D1173</x:f>
        <x:v>0</x:v>
      </x:c>
      <x:c r="F1173" s="177" t="str">
        <x:f>IF(ABS(E1173)&lt;0.000001,"PASS","FAIL")</x:f>
        <x:v>PASS</x:v>
      </x:c>
      <x:c r="G1173" s="177" t="str">
        <x:v>研发投入＝费用化＋资本化</x:v>
      </x:c>
      <x:c r="H1173" s="184"/>
    </x:row>
    <x:row r="1174">
      <x:c r="A1174" s="177" t="str">
        <x:v>R9-DYN-RD-002273-2026H1</x:v>
      </x:c>
      <x:c r="B1174" s="177" t="str">
        <x:v>水晶光电2026H1研发投入勾稽</x:v>
      </x:c>
      <x:c r="C1174" s="230" t="n">
        <x:f>'研发与资产'!E61</x:f>
        <x:v>2.8182631583999997</x:v>
      </x:c>
      <x:c r="D1174" s="230" t="n">
        <x:f>SUM('研发与资产'!F61:G61)</x:f>
        <x:v>2.8182631583999997</x:v>
      </x:c>
      <x:c r="E1174" s="230" t="n">
        <x:f>C1174-D1174</x:f>
        <x:v>0</x:v>
      </x:c>
      <x:c r="F1174" s="177" t="str">
        <x:f>IF(ABS(E1174)&lt;0.000001,"PASS","FAIL")</x:f>
        <x:v>PASS</x:v>
      </x:c>
      <x:c r="G1174" s="177" t="str">
        <x:v>研发投入＝费用化＋资本化</x:v>
      </x:c>
      <x:c r="H1174" s="184"/>
    </x:row>
    <x:row r="1175">
      <x:c r="A1175" s="177" t="str">
        <x:v>R9-DYN-INVENTORY-2023-12-31</x:v>
      </x:c>
      <x:c r="B1175" s="177" t="str">
        <x:v>2023年末存货净额勾稽</x:v>
      </x:c>
      <x:c r="C1175" s="230" t="n">
        <x:f>'研发与资产'!M70</x:f>
        <x:v>0</x:v>
      </x:c>
      <x:c r="D1175" s="230" t="n">
        <x:f>0</x:f>
        <x:v>0</x:v>
      </x:c>
      <x:c r="E1175" s="230" t="n">
        <x:f>C1175-D1175</x:f>
        <x:v>0</x:v>
      </x:c>
      <x:c r="F1175" s="177" t="str">
        <x:f>IF(ABS(E1175)&lt;0.000001,"PASS","FAIL")</x:f>
        <x:v>PASS</x:v>
      </x:c>
      <x:c r="G1175" s="177" t="str">
        <x:v>账面余额－跌价准备＝账面净额</x:v>
      </x:c>
      <x:c r="H1175" s="184"/>
    </x:row>
    <x:row r="1176">
      <x:c r="A1176" s="177" t="str">
        <x:v>R9-DYN-INVENTORY-2024-12-31</x:v>
      </x:c>
      <x:c r="B1176" s="177" t="str">
        <x:v>2024年末存货净额勾稽</x:v>
      </x:c>
      <x:c r="C1176" s="230" t="n">
        <x:f>'研发与资产'!M71</x:f>
        <x:v>4.440892098500626e-16</x:v>
      </x:c>
      <x:c r="D1176" s="230" t="n">
        <x:f>0</x:f>
        <x:v>0</x:v>
      </x:c>
      <x:c r="E1176" s="230" t="n">
        <x:f>C1176-D1176</x:f>
        <x:v>4.440892098500626e-16</x:v>
      </x:c>
      <x:c r="F1176" s="177" t="str">
        <x:f>IF(ABS(E1176)&lt;0.000001,"PASS","FAIL")</x:f>
        <x:v>PASS</x:v>
      </x:c>
      <x:c r="G1176" s="177" t="str">
        <x:v>账面余额－跌价准备＝账面净额</x:v>
      </x:c>
      <x:c r="H1176" s="184"/>
    </x:row>
    <x:row r="1177">
      <x:c r="A1177" s="177" t="str">
        <x:v>R9-DYN-INVENTORY-2025-12-31</x:v>
      </x:c>
      <x:c r="B1177" s="177" t="str">
        <x:v>2025年末存货净额勾稽</x:v>
      </x:c>
      <x:c r="C1177" s="230" t="n">
        <x:f>'研发与资产'!M72</x:f>
        <x:v>-4.440892098500626e-16</x:v>
      </x:c>
      <x:c r="D1177" s="230" t="n">
        <x:f>0</x:f>
        <x:v>0</x:v>
      </x:c>
      <x:c r="E1177" s="230" t="n">
        <x:f>C1177-D1177</x:f>
        <x:v>-4.440892098500626e-16</x:v>
      </x:c>
      <x:c r="F1177" s="177" t="str">
        <x:f>IF(ABS(E1177)&lt;0.000001,"PASS","FAIL")</x:f>
        <x:v>PASS</x:v>
      </x:c>
      <x:c r="G1177" s="177" t="str">
        <x:v>账面余额－跌价准备＝账面净额</x:v>
      </x:c>
      <x:c r="H1177" s="184"/>
    </x:row>
    <x:row r="1178">
      <x:c r="A1178" s="177" t="str">
        <x:v>R9-DYN-INVENTORY-2026-06-30</x:v>
      </x:c>
      <x:c r="B1178" s="177" t="str">
        <x:v>2026年6月末存货净额勾稽</x:v>
      </x:c>
      <x:c r="C1178" s="230" t="n">
        <x:f>'研发与资产'!M73</x:f>
        <x:v>4.440892098500626e-16</x:v>
      </x:c>
      <x:c r="D1178" s="230" t="n">
        <x:f>0</x:f>
        <x:v>0</x:v>
      </x:c>
      <x:c r="E1178" s="230" t="n">
        <x:f>C1178-D1178</x:f>
        <x:v>4.440892098500626e-16</x:v>
      </x:c>
      <x:c r="F1178" s="177" t="str">
        <x:f>IF(ABS(E1178)&lt;0.000001,"PASS","FAIL")</x:f>
        <x:v>PASS</x:v>
      </x:c>
      <x:c r="G1178" s="177" t="str">
        <x:v>账面余额－跌价准备＝账面净额</x:v>
      </x:c>
      <x:c r="H1178" s="184"/>
    </x:row>
    <x:row r="1179">
      <x:c r="A1179" s="177" t="str">
        <x:v>R9-DYN-ACTUAL-2025A-preTaxProfit</x:v>
      </x:c>
      <x:c r="B1179" s="177" t="str">
        <x:v>2025A利润表勾稽</x:v>
      </x:c>
      <x:c r="C1179" s="230" t="n">
        <x:f>'公司业绩全览'!B38</x:f>
        <x:v>-0.6450380934000004</x:v>
      </x:c>
      <x:c r="D1179" s="230" t="n">
        <x:f>'公司业绩全览'!B100</x:f>
        <x:v>-0.6450380934000001</x:v>
      </x:c>
      <x:c r="E1179" s="230" t="n">
        <x:f>C1179-D1179</x:f>
        <x:v>-3.3306690738754696e-16</x:v>
      </x:c>
      <x:c r="F1179" s="177" t="str">
        <x:f>IF(ABS(E1179)&lt;0.000001,"PASS","FAIL")</x:f>
        <x:v>PASS</x:v>
      </x:c>
      <x:c r="G1179" s="177" t="str">
        <x:v>按费用、收益、减值和税项重算，对照报告原值</x:v>
      </x:c>
      <x:c r="H1179" s="184"/>
    </x:row>
    <x:row r="1180">
      <x:c r="A1180" s="177" t="str">
        <x:v>R9-DYN-ACTUAL-2025A-parentNetProfit</x:v>
      </x:c>
      <x:c r="B1180" s="177" t="str">
        <x:v>2025A利润表勾稽</x:v>
      </x:c>
      <x:c r="C1180" s="230" t="n">
        <x:f>'公司业绩全览'!B40</x:f>
        <x:v>-0.3840957427000004</x:v>
      </x:c>
      <x:c r="D1180" s="230" t="n">
        <x:f>'公司业绩全览'!B102</x:f>
        <x:v>-0.3840957427</x:v>
      </x:c>
      <x:c r="E1180" s="230" t="n">
        <x:f>C1180-D1180</x:f>
        <x:v>-3.885780586188048e-16</x:v>
      </x:c>
      <x:c r="F1180" s="177" t="str">
        <x:f>IF(ABS(E1180)&lt;0.000001,"PASS","FAIL")</x:f>
        <x:v>PASS</x:v>
      </x:c>
      <x:c r="G1180" s="177" t="str">
        <x:v>按费用、收益、减值和税项重算，对照报告原值</x:v>
      </x:c>
      <x:c r="H1180" s="184"/>
    </x:row>
    <x:row r="1181">
      <x:c r="A1181" s="177" t="str">
        <x:v>R9-DYN-ACTUAL-2026H1-preTaxProfit</x:v>
      </x:c>
      <x:c r="B1181" s="177" t="str">
        <x:v>2026H1利润表勾稽</x:v>
      </x:c>
      <x:c r="C1181" s="230" t="n">
        <x:f>'公司业绩全览'!C38</x:f>
        <x:v>-0.7390827258999998</x:v>
      </x:c>
      <x:c r="D1181" s="230" t="n">
        <x:f>'公司业绩全览'!C100</x:f>
        <x:v>-0.7390827259</x:v>
      </x:c>
      <x:c r="E1181" s="230" t="n">
        <x:f>C1181-D1181</x:f>
        <x:v>2.220446049250313e-16</x:v>
      </x:c>
      <x:c r="F1181" s="177" t="str">
        <x:f>IF(ABS(E1181)&lt;0.000001,"PASS","FAIL")</x:f>
        <x:v>PASS</x:v>
      </x:c>
      <x:c r="G1181" s="177" t="str">
        <x:v>按费用、收益、减值和税项重算，对照报告原值</x:v>
      </x:c>
      <x:c r="H1181" s="184"/>
    </x:row>
    <x:row r="1182">
      <x:c r="A1182" s="177" t="str">
        <x:v>R9-DYN-ACTUAL-2026H1-parentNetProfit</x:v>
      </x:c>
      <x:c r="B1182" s="177" t="str">
        <x:v>2026H1利润表勾稽</x:v>
      </x:c>
      <x:c r="C1182" s="230" t="n">
        <x:f>'公司业绩全览'!C40</x:f>
        <x:v>-0.6722878031999998</x:v>
      </x:c>
      <x:c r="D1182" s="230" t="n">
        <x:f>'公司业绩全览'!C102</x:f>
        <x:v>-0.6722878031999999</x:v>
      </x:c>
      <x:c r="E1182" s="230" t="n">
        <x:f>C1182-D1182</x:f>
        <x:v>1.1102230246251565e-16</x:v>
      </x:c>
      <x:c r="F1182" s="177" t="str">
        <x:f>IF(ABS(E1182)&lt;0.000001,"PASS","FAIL")</x:f>
        <x:v>PASS</x:v>
      </x:c>
      <x:c r="G1182" s="177" t="str">
        <x:v>按费用、收益、减值和税项重算，对照报告原值</x:v>
      </x:c>
      <x:c r="H1182" s="184"/>
    </x:row>
    <x:row r="1183">
      <x:c r="A1183" s="177" t="str">
        <x:v>R9-DYN-FORECAST-2026-revenue</x:v>
      </x:c>
      <x:c r="B1183" s="177" t="str">
        <x:v>2026全览与预测同源revenue</x:v>
      </x:c>
      <x:c r="C1183" s="230" t="n">
        <x:f>'公司业绩全览'!D27</x:f>
        <x:v>11.3114144</x:v>
      </x:c>
      <x:c r="D1183" s="230" t="n">
        <x:f>'合并预测'!B14</x:f>
        <x:v>11.3114144</x:v>
      </x:c>
      <x:c r="E1183" s="230" t="n">
        <x:f>C1183-D1183</x:f>
        <x:v>0</x:v>
      </x:c>
      <x:c r="F1183" s="177" t="str">
        <x:f>IF(ABS(E1183)&lt;0.000001,"PASS","FAIL")</x:f>
        <x:v>PASS</x:v>
      </x:c>
      <x:c r="G1183" s="177" t="str">
        <x:v>全览引用原预测单元格，不重新硬编码预测值</x:v>
      </x:c>
      <x:c r="H1183" s="184"/>
    </x:row>
    <x:row r="1184">
      <x:c r="A1184" s="177" t="str">
        <x:v>R9-DYN-FORECAST-2026-grossProfit</x:v>
      </x:c>
      <x:c r="B1184" s="177" t="str">
        <x:v>2026全览与预测同源grossProfit</x:v>
      </x:c>
      <x:c r="C1184" s="230" t="n">
        <x:f>'公司业绩全览'!D29</x:f>
        <x:v>5.503988639999999</x:v>
      </x:c>
      <x:c r="D1184" s="230" t="n">
        <x:f>'合并预测'!B15</x:f>
        <x:v>5.503988639999999</x:v>
      </x:c>
      <x:c r="E1184" s="230" t="n">
        <x:f>C1184-D1184</x:f>
        <x:v>0</x:v>
      </x:c>
      <x:c r="F1184" s="177" t="str">
        <x:f>IF(ABS(E1184)&lt;0.000001,"PASS","FAIL")</x:f>
        <x:v>PASS</x:v>
      </x:c>
      <x:c r="G1184" s="177" t="str">
        <x:v>全览引用原预测单元格，不重新硬编码预测值</x:v>
      </x:c>
      <x:c r="H1184" s="184"/>
    </x:row>
    <x:row r="1185">
      <x:c r="A1185" s="177" t="str">
        <x:v>R9-DYN-FORECAST-2026-parentNetProfit</x:v>
      </x:c>
      <x:c r="B1185" s="177" t="str">
        <x:v>2026全览与预测同源parentNetProfit</x:v>
      </x:c>
      <x:c r="C1185" s="230" t="n">
        <x:f>'公司业绩全览'!D40</x:f>
        <x:v>0.8231908703999995</x:v>
      </x:c>
      <x:c r="D1185" s="230" t="n">
        <x:f>'合并预测'!B30</x:f>
        <x:v>0.8231908703999995</x:v>
      </x:c>
      <x:c r="E1185" s="230" t="n">
        <x:f>C1185-D1185</x:f>
        <x:v>0</x:v>
      </x:c>
      <x:c r="F1185" s="177" t="str">
        <x:f>IF(ABS(E1185)&lt;0.000001,"PASS","FAIL")</x:f>
        <x:v>PASS</x:v>
      </x:c>
      <x:c r="G1185" s="177" t="str">
        <x:v>全览引用原预测单元格，不重新硬编码预测值</x:v>
      </x:c>
      <x:c r="H1185" s="184"/>
    </x:row>
    <x:row r="1186">
      <x:c r="A1186" s="177" t="str">
        <x:v>R9-DYN-PROFIT-SIGN-2026</x:v>
      </x:c>
      <x:c r="B1186" s="177" t="str">
        <x:v>2026费用符号与利润勾稽</x:v>
      </x:c>
      <x:c r="C1186" s="230" t="n">
        <x:f>'公司业绩全览'!D40</x:f>
        <x:v>0.8231908703999995</x:v>
      </x:c>
      <x:c r="D1186" s="230" t="n">
        <x:f>'公司业绩全览'!D29-SUM('公司业绩全览'!D31:D35)+'公司业绩全览'!D36-'公司业绩全览'!D37+'公司业绩全览'!D39</x:f>
        <x:v>0.8231908703999997</x:v>
      </x:c>
      <x:c r="E1186" s="230" t="n">
        <x:f>C1186-D1186</x:f>
        <x:v>-2.220446049250313e-16</x:v>
      </x:c>
      <x:c r="F1186" s="177" t="str">
        <x:f>IF(ABS(E1186)&lt;0.000001,"PASS","FAIL")</x:f>
        <x:v>PASS</x:v>
      </x:c>
      <x:c r="G1186" s="177" t="str">
        <x:v>正数费用扣除；其他收益与税项按正负号加总</x:v>
      </x:c>
      <x:c r="H1186" s="184"/>
    </x:row>
    <x:row r="1187">
      <x:c r="A1187" s="177" t="str">
        <x:v>R9-DYN-FORECAST-2027-revenue</x:v>
      </x:c>
      <x:c r="B1187" s="177" t="str">
        <x:v>2027全览与预测同源revenue</x:v>
      </x:c>
      <x:c r="C1187" s="230" t="n">
        <x:f>'公司业绩全览'!E27</x:f>
        <x:v>39.989853600000004</x:v>
      </x:c>
      <x:c r="D1187" s="230" t="n">
        <x:f>'合并预测'!C14</x:f>
        <x:v>39.989853600000004</x:v>
      </x:c>
      <x:c r="E1187" s="230" t="n">
        <x:f>C1187-D1187</x:f>
        <x:v>0</x:v>
      </x:c>
      <x:c r="F1187" s="177" t="str">
        <x:f>IF(ABS(E1187)&lt;0.000001,"PASS","FAIL")</x:f>
        <x:v>PASS</x:v>
      </x:c>
      <x:c r="G1187" s="177" t="str">
        <x:v>全览引用原预测单元格，不重新硬编码预测值</x:v>
      </x:c>
      <x:c r="H1187" s="184"/>
    </x:row>
    <x:row r="1188">
      <x:c r="A1188" s="177" t="str">
        <x:v>R9-DYN-FORECAST-2027-grossProfit</x:v>
      </x:c>
      <x:c r="B1188" s="177" t="str">
        <x:v>2027全览与预测同源grossProfit</x:v>
      </x:c>
      <x:c r="C1188" s="230" t="n">
        <x:f>'公司业绩全览'!E29</x:f>
        <x:v>22.32173216</x:v>
      </x:c>
      <x:c r="D1188" s="230" t="n">
        <x:f>'合并预测'!C15</x:f>
        <x:v>22.32173216</x:v>
      </x:c>
      <x:c r="E1188" s="230" t="n">
        <x:f>C1188-D1188</x:f>
        <x:v>0</x:v>
      </x:c>
      <x:c r="F1188" s="177" t="str">
        <x:f>IF(ABS(E1188)&lt;0.000001,"PASS","FAIL")</x:f>
        <x:v>PASS</x:v>
      </x:c>
      <x:c r="G1188" s="177" t="str">
        <x:v>全览引用原预测单元格，不重新硬编码预测值</x:v>
      </x:c>
      <x:c r="H1188" s="184"/>
    </x:row>
    <x:row r="1189">
      <x:c r="A1189" s="177" t="str">
        <x:v>R9-DYN-FORECAST-2027-parentNetProfit</x:v>
      </x:c>
      <x:c r="B1189" s="177" t="str">
        <x:v>2027全览与预测同源parentNetProfit</x:v>
      </x:c>
      <x:c r="C1189" s="230" t="n">
        <x:f>'公司业绩全览'!E40</x:f>
        <x:v>8.453124351299998</x:v>
      </x:c>
      <x:c r="D1189" s="230" t="n">
        <x:f>'合并预测'!C30</x:f>
        <x:v>8.453124351299998</x:v>
      </x:c>
      <x:c r="E1189" s="230" t="n">
        <x:f>C1189-D1189</x:f>
        <x:v>0</x:v>
      </x:c>
      <x:c r="F1189" s="177" t="str">
        <x:f>IF(ABS(E1189)&lt;0.000001,"PASS","FAIL")</x:f>
        <x:v>PASS</x:v>
      </x:c>
      <x:c r="G1189" s="177" t="str">
        <x:v>全览引用原预测单元格，不重新硬编码预测值</x:v>
      </x:c>
      <x:c r="H1189" s="184"/>
    </x:row>
    <x:row r="1190">
      <x:c r="A1190" s="177" t="str">
        <x:v>R9-DYN-PROFIT-SIGN-2027</x:v>
      </x:c>
      <x:c r="B1190" s="177" t="str">
        <x:v>2027费用符号与利润勾稽</x:v>
      </x:c>
      <x:c r="C1190" s="230" t="n">
        <x:f>'公司业绩全览'!E40</x:f>
        <x:v>8.453124351299998</x:v>
      </x:c>
      <x:c r="D1190" s="230" t="n">
        <x:f>'公司业绩全览'!E29-SUM('公司业绩全览'!E31:E35)+'公司业绩全览'!E36-'公司业绩全览'!E37+'公司业绩全览'!E39</x:f>
        <x:v>8.453124351299998</x:v>
      </x:c>
      <x:c r="E1190" s="230" t="n">
        <x:f>C1190-D1190</x:f>
        <x:v>0</x:v>
      </x:c>
      <x:c r="F1190" s="177" t="str">
        <x:f>IF(ABS(E1190)&lt;0.000001,"PASS","FAIL")</x:f>
        <x:v>PASS</x:v>
      </x:c>
      <x:c r="G1190" s="177" t="str">
        <x:v>正数费用扣除；其他收益与税项按正负号加总</x:v>
      </x:c>
      <x:c r="H1190" s="184"/>
    </x:row>
    <x:row r="1191">
      <x:c r="A1191" s="177" t="str">
        <x:v>R9-DYN-FORECAST-2028-revenue</x:v>
      </x:c>
      <x:c r="B1191" s="177" t="str">
        <x:v>2028全览与预测同源revenue</x:v>
      </x:c>
      <x:c r="C1191" s="230" t="n">
        <x:f>'公司业绩全览'!F27</x:f>
        <x:v>107.689760688</x:v>
      </x:c>
      <x:c r="D1191" s="230" t="n">
        <x:f>'合并预测'!D14</x:f>
        <x:v>107.689760688</x:v>
      </x:c>
      <x:c r="E1191" s="230" t="n">
        <x:f>C1191-D1191</x:f>
        <x:v>0</x:v>
      </x:c>
      <x:c r="F1191" s="177" t="str">
        <x:f>IF(ABS(E1191)&lt;0.000001,"PASS","FAIL")</x:f>
        <x:v>PASS</x:v>
      </x:c>
      <x:c r="G1191" s="177" t="str">
        <x:v>全览引用原预测单元格，不重新硬编码预测值</x:v>
      </x:c>
      <x:c r="H1191" s="184"/>
    </x:row>
    <x:row r="1192">
      <x:c r="A1192" s="177" t="str">
        <x:v>R9-DYN-FORECAST-2028-grossProfit</x:v>
      </x:c>
      <x:c r="B1192" s="177" t="str">
        <x:v>2028全览与预测同源grossProfit</x:v>
      </x:c>
      <x:c r="C1192" s="230" t="n">
        <x:f>'公司业绩全览'!F29</x:f>
        <x:v>62.2895589128</x:v>
      </x:c>
      <x:c r="D1192" s="230" t="n">
        <x:f>'合并预测'!D15</x:f>
        <x:v>62.2895589128</x:v>
      </x:c>
      <x:c r="E1192" s="230" t="n">
        <x:f>C1192-D1192</x:f>
        <x:v>0</x:v>
      </x:c>
      <x:c r="F1192" s="177" t="str">
        <x:f>IF(ABS(E1192)&lt;0.000001,"PASS","FAIL")</x:f>
        <x:v>PASS</x:v>
      </x:c>
      <x:c r="G1192" s="177" t="str">
        <x:v>全览引用原预测单元格，不重新硬编码预测值</x:v>
      </x:c>
      <x:c r="H1192" s="184"/>
    </x:row>
    <x:row r="1193">
      <x:c r="A1193" s="177" t="str">
        <x:v>R9-DYN-FORECAST-2028-parentNetProfit</x:v>
      </x:c>
      <x:c r="B1193" s="177" t="str">
        <x:v>2028全览与预测同源parentNetProfit</x:v>
      </x:c>
      <x:c r="C1193" s="230" t="n">
        <x:f>'公司业绩全览'!F40</x:f>
        <x:v>31.04018204382039</x:v>
      </x:c>
      <x:c r="D1193" s="230" t="n">
        <x:f>'合并预测'!D30</x:f>
        <x:v>31.04018204382039</x:v>
      </x:c>
      <x:c r="E1193" s="230" t="n">
        <x:f>C1193-D1193</x:f>
        <x:v>0</x:v>
      </x:c>
      <x:c r="F1193" s="177" t="str">
        <x:f>IF(ABS(E1193)&lt;0.000001,"PASS","FAIL")</x:f>
        <x:v>PASS</x:v>
      </x:c>
      <x:c r="G1193" s="177" t="str">
        <x:v>全览引用原预测单元格，不重新硬编码预测值</x:v>
      </x:c>
      <x:c r="H1193" s="184"/>
    </x:row>
    <x:row r="1194">
      <x:c r="A1194" s="177" t="str">
        <x:v>R9-DYN-PROFIT-SIGN-2028</x:v>
      </x:c>
      <x:c r="B1194" s="177" t="str">
        <x:v>2028费用符号与利润勾稽</x:v>
      </x:c>
      <x:c r="C1194" s="230" t="n">
        <x:f>'公司业绩全览'!F40</x:f>
        <x:v>31.04018204382039</x:v>
      </x:c>
      <x:c r="D1194" s="230" t="n">
        <x:f>'公司业绩全览'!F29-SUM('公司业绩全览'!F31:F35)+'公司业绩全览'!F36-'公司业绩全览'!F37+'公司业绩全览'!F39</x:f>
        <x:v>31.04018204382039</x:v>
      </x:c>
      <x:c r="E1194" s="230" t="n">
        <x:f>C1194-D1194</x:f>
        <x:v>0</x:v>
      </x:c>
      <x:c r="F1194" s="177" t="str">
        <x:f>IF(ABS(E1194)&lt;0.000001,"PASS","FAIL")</x:f>
        <x:v>PASS</x:v>
      </x:c>
      <x:c r="G1194" s="177" t="str">
        <x:v>正数费用扣除；其他收益与税项按正负号加总</x:v>
      </x:c>
      <x:c r="H1194" s="184"/>
    </x:row>
    <x:row r="1195">
      <x:c r="A1195" s="177" t="str">
        <x:v>R9-DYN-FORECAST-2029-revenue</x:v>
      </x:c>
      <x:c r="B1195" s="177" t="str">
        <x:v>2029全览与预测同源revenue</x:v>
      </x:c>
      <x:c r="C1195" s="230" t="n">
        <x:f>'公司业绩全览'!G27</x:f>
        <x:v>184.96422548448004</x:v>
      </x:c>
      <x:c r="D1195" s="230" t="n">
        <x:f>'合并预测'!E14</x:f>
        <x:v>184.96422548448004</x:v>
      </x:c>
      <x:c r="E1195" s="230" t="n">
        <x:f>C1195-D1195</x:f>
        <x:v>0</x:v>
      </x:c>
      <x:c r="F1195" s="177" t="str">
        <x:f>IF(ABS(E1195)&lt;0.000001,"PASS","FAIL")</x:f>
        <x:v>PASS</x:v>
      </x:c>
      <x:c r="G1195" s="177" t="str">
        <x:v>全览引用原预测单元格，不重新硬编码预测值</x:v>
      </x:c>
      <x:c r="H1195" s="184"/>
    </x:row>
    <x:row r="1196">
      <x:c r="A1196" s="177" t="str">
        <x:v>R9-DYN-FORECAST-2029-grossProfit</x:v>
      </x:c>
      <x:c r="B1196" s="177" t="str">
        <x:v>2029全览与预测同源grossProfit</x:v>
      </x:c>
      <x:c r="C1196" s="230" t="n">
        <x:f>'公司业绩全览'!G29</x:f>
        <x:v>108.24532754068804</x:v>
      </x:c>
      <x:c r="D1196" s="230" t="n">
        <x:f>'合并预测'!E15</x:f>
        <x:v>108.24532754068804</x:v>
      </x:c>
      <x:c r="E1196" s="230" t="n">
        <x:f>C1196-D1196</x:f>
        <x:v>0</x:v>
      </x:c>
      <x:c r="F1196" s="177" t="str">
        <x:f>IF(ABS(E1196)&lt;0.000001,"PASS","FAIL")</x:f>
        <x:v>PASS</x:v>
      </x:c>
      <x:c r="G1196" s="177" t="str">
        <x:v>全览引用原预测单元格，不重新硬编码预测值</x:v>
      </x:c>
      <x:c r="H1196" s="184"/>
    </x:row>
    <x:row r="1197">
      <x:c r="A1197" s="177" t="str">
        <x:v>R9-DYN-FORECAST-2029-parentNetProfit</x:v>
      </x:c>
      <x:c r="B1197" s="177" t="str">
        <x:v>2029全览与预测同源parentNetProfit</x:v>
      </x:c>
      <x:c r="C1197" s="230" t="n">
        <x:f>'公司业绩全览'!G40</x:f>
        <x:v>56.52790069401622</x:v>
      </x:c>
      <x:c r="D1197" s="230" t="n">
        <x:f>'合并预测'!E30</x:f>
        <x:v>56.52790069401622</x:v>
      </x:c>
      <x:c r="E1197" s="230" t="n">
        <x:f>C1197-D1197</x:f>
        <x:v>0</x:v>
      </x:c>
      <x:c r="F1197" s="177" t="str">
        <x:f>IF(ABS(E1197)&lt;0.000001,"PASS","FAIL")</x:f>
        <x:v>PASS</x:v>
      </x:c>
      <x:c r="G1197" s="177" t="str">
        <x:v>全览引用原预测单元格，不重新硬编码预测值</x:v>
      </x:c>
      <x:c r="H1197" s="184"/>
    </x:row>
    <x:row r="1198">
      <x:c r="A1198" s="177" t="str">
        <x:v>R9-DYN-PROFIT-SIGN-2029</x:v>
      </x:c>
      <x:c r="B1198" s="177" t="str">
        <x:v>2029费用符号与利润勾稽</x:v>
      </x:c>
      <x:c r="C1198" s="230" t="n">
        <x:f>'公司业绩全览'!G40</x:f>
        <x:v>56.52790069401622</x:v>
      </x:c>
      <x:c r="D1198" s="230" t="n">
        <x:f>'公司业绩全览'!G29-SUM('公司业绩全览'!G31:G35)+'公司业绩全览'!G36-'公司业绩全览'!G37+'公司业绩全览'!G39</x:f>
        <x:v>56.52790069401622</x:v>
      </x:c>
      <x:c r="E1198" s="230" t="n">
        <x:f>C1198-D1198</x:f>
        <x:v>0</x:v>
      </x:c>
      <x:c r="F1198" s="177" t="str">
        <x:f>IF(ABS(E1198)&lt;0.000001,"PASS","FAIL")</x:f>
        <x:v>PASS</x:v>
      </x:c>
      <x:c r="G1198" s="177" t="str">
        <x:v>正数费用扣除；其他收益与税项按正负号加总</x:v>
      </x:c>
      <x:c r="H1198" s="184"/>
    </x:row>
    <x:row r="1199">
      <x:c r="A1199" s="177" t="str">
        <x:v>R9-DYN-FORECAST-2030-revenue</x:v>
      </x:c>
      <x:c r="B1199" s="177" t="str">
        <x:v>2030全览与预测同源revenue</x:v>
      </x:c>
      <x:c r="C1199" s="230" t="n">
        <x:f>'公司业绩全览'!H27</x:f>
        <x:v>256.108988794752</x:v>
      </x:c>
      <x:c r="D1199" s="230" t="n">
        <x:f>'合并预测'!F14</x:f>
        <x:v>256.108988794752</x:v>
      </x:c>
      <x:c r="E1199" s="230" t="n">
        <x:f>C1199-D1199</x:f>
        <x:v>0</x:v>
      </x:c>
      <x:c r="F1199" s="177" t="str">
        <x:f>IF(ABS(E1199)&lt;0.000001,"PASS","FAIL")</x:f>
        <x:v>PASS</x:v>
      </x:c>
      <x:c r="G1199" s="177" t="str">
        <x:v>全览引用原预测单元格，不重新硬编码预测值</x:v>
      </x:c>
      <x:c r="H1199" s="184"/>
    </x:row>
    <x:row r="1200">
      <x:c r="A1200" s="177" t="str">
        <x:v>R9-DYN-FORECAST-2030-grossProfit</x:v>
      </x:c>
      <x:c r="B1200" s="177" t="str">
        <x:v>2030全览与预测同源grossProfit</x:v>
      </x:c>
      <x:c r="C1200" s="230" t="n">
        <x:f>'公司业绩全览'!H29</x:f>
        <x:v>150.56292397685118</x:v>
      </x:c>
      <x:c r="D1200" s="230" t="n">
        <x:f>'合并预测'!F15</x:f>
        <x:v>150.56292397685118</x:v>
      </x:c>
      <x:c r="E1200" s="230" t="n">
        <x:f>C1200-D1200</x:f>
        <x:v>0</x:v>
      </x:c>
      <x:c r="F1200" s="177" t="str">
        <x:f>IF(ABS(E1200)&lt;0.000001,"PASS","FAIL")</x:f>
        <x:v>PASS</x:v>
      </x:c>
      <x:c r="G1200" s="177" t="str">
        <x:v>全览引用原预测单元格，不重新硬编码预测值</x:v>
      </x:c>
      <x:c r="H1200" s="184"/>
    </x:row>
    <x:row r="1201">
      <x:c r="A1201" s="177" t="str">
        <x:v>R9-DYN-FORECAST-2030-parentNetProfit</x:v>
      </x:c>
      <x:c r="B1201" s="177" t="str">
        <x:v>2030全览与预测同源parentNetProfit</x:v>
      </x:c>
      <x:c r="C1201" s="230" t="n">
        <x:f>'公司业绩全览'!H40</x:f>
        <x:v>81.91264559950919</x:v>
      </x:c>
      <x:c r="D1201" s="230" t="n">
        <x:f>'合并预测'!F30</x:f>
        <x:v>81.91264559950919</x:v>
      </x:c>
      <x:c r="E1201" s="230" t="n">
        <x:f>C1201-D1201</x:f>
        <x:v>0</x:v>
      </x:c>
      <x:c r="F1201" s="177" t="str">
        <x:f>IF(ABS(E1201)&lt;0.000001,"PASS","FAIL")</x:f>
        <x:v>PASS</x:v>
      </x:c>
      <x:c r="G1201" s="177" t="str">
        <x:v>全览引用原预测单元格，不重新硬编码预测值</x:v>
      </x:c>
      <x:c r="H1201" s="184"/>
    </x:row>
    <x:row r="1202">
      <x:c r="A1202" s="177" t="str">
        <x:v>R9-DYN-PROFIT-SIGN-2030</x:v>
      </x:c>
      <x:c r="B1202" s="177" t="str">
        <x:v>2030费用符号与利润勾稽</x:v>
      </x:c>
      <x:c r="C1202" s="230" t="n">
        <x:f>'公司业绩全览'!H40</x:f>
        <x:v>81.91264559950919</x:v>
      </x:c>
      <x:c r="D1202" s="230" t="n">
        <x:f>'公司业绩全览'!H29-SUM('公司业绩全览'!H31:H35)+'公司业绩全览'!H36-'公司业绩全览'!H37+'公司业绩全览'!H39</x:f>
        <x:v>81.91264559950919</x:v>
      </x:c>
      <x:c r="E1202" s="230" t="n">
        <x:f>C1202-D1202</x:f>
        <x:v>0</x:v>
      </x:c>
      <x:c r="F1202" s="177" t="str">
        <x:f>IF(ABS(E1202)&lt;0.000001,"PASS","FAIL")</x:f>
        <x:v>PASS</x:v>
      </x:c>
      <x:c r="G1202" s="177" t="str">
        <x:v>正数费用扣除；其他收益与税项按正负号加总</x:v>
      </x:c>
      <x:c r="H1202" s="184"/>
    </x:row>
    <x:row r="1203">
      <x:c r="A1203" s="177" t="str">
        <x:v>R9-DYN-SEGMENT-REVENUE-2025A</x:v>
      </x:c>
      <x:c r="B1203" s="177" t="str">
        <x:v>2025A分部收入加总</x:v>
      </x:c>
      <x:c r="C1203" s="230" t="n">
        <x:f>'公司业绩全览'!B60</x:f>
        <x:v>8.7999932916</x:v>
      </x:c>
      <x:c r="D1203" s="230" t="n">
        <x:f>'公司业绩全览'!B27</x:f>
        <x:v>8.7999932916</x:v>
      </x:c>
      <x:c r="E1203" s="230" t="n">
        <x:f>C1203-D1203</x:f>
        <x:v>0</x:v>
      </x:c>
      <x:c r="F1203" s="177" t="str">
        <x:f>IF(ABS(E1203)&lt;0.000001,"PASS","FAIL")</x:f>
        <x:v>PASS</x:v>
      </x:c>
      <x:c r="G1203" s="177" t="str">
        <x:v>所有应用市场与合并收入勾稽</x:v>
      </x:c>
      <x:c r="H1203" s="184"/>
    </x:row>
    <x:row r="1204">
      <x:c r="A1204" s="177" t="str">
        <x:v>R9-DYN-SEGMENT-REVENUE-2026H1A</x:v>
      </x:c>
      <x:c r="B1204" s="177" t="str">
        <x:v>2026H1A分部收入加总</x:v>
      </x:c>
      <x:c r="C1204" s="230" t="n">
        <x:f>'公司业绩全览'!C60</x:f>
        <x:v>4.1856510076</x:v>
      </x:c>
      <x:c r="D1204" s="230" t="n">
        <x:f>'公司业绩全览'!C27</x:f>
        <x:v>4.1856510076</x:v>
      </x:c>
      <x:c r="E1204" s="230" t="n">
        <x:f>C1204-D1204</x:f>
        <x:v>0</x:v>
      </x:c>
      <x:c r="F1204" s="177" t="str">
        <x:f>IF(ABS(E1204)&lt;0.000001,"PASS","FAIL")</x:f>
        <x:v>PASS</x:v>
      </x:c>
      <x:c r="G1204" s="177" t="str">
        <x:v>所有应用市场与合并收入勾稽</x:v>
      </x:c>
      <x:c r="H1204" s="184"/>
    </x:row>
    <x:row r="1205">
      <x:c r="A1205" s="177" t="str">
        <x:v>R9-DYN-SEGMENT-REVENUE-2026E</x:v>
      </x:c>
      <x:c r="B1205" s="177" t="str">
        <x:v>2026E分部收入加总</x:v>
      </x:c>
      <x:c r="C1205" s="230" t="n">
        <x:f>'公司业绩全览'!D60</x:f>
        <x:v>11.3114144</x:v>
      </x:c>
      <x:c r="D1205" s="230" t="n">
        <x:f>'公司业绩全览'!D27</x:f>
        <x:v>11.3114144</x:v>
      </x:c>
      <x:c r="E1205" s="230" t="n">
        <x:f>C1205-D1205</x:f>
        <x:v>0</x:v>
      </x:c>
      <x:c r="F1205" s="177" t="str">
        <x:f>IF(ABS(E1205)&lt;0.000001,"PASS","FAIL")</x:f>
        <x:v>PASS</x:v>
      </x:c>
      <x:c r="G1205" s="177" t="str">
        <x:v>所有应用市场与合并收入勾稽</x:v>
      </x:c>
      <x:c r="H1205" s="184"/>
    </x:row>
    <x:row r="1206">
      <x:c r="A1206" s="177" t="str">
        <x:v>R9-DYN-SEGMENT-GP-2026E</x:v>
      </x:c>
      <x:c r="B1206" s="177" t="str">
        <x:v>2026E分部毛利加总</x:v>
      </x:c>
      <x:c r="C1206" s="230" t="n">
        <x:f>'公司业绩全览'!D82</x:f>
        <x:v>5.503988639999999</x:v>
      </x:c>
      <x:c r="D1206" s="230" t="n">
        <x:f>'公司业绩全览'!D29</x:f>
        <x:v>5.503988639999999</x:v>
      </x:c>
      <x:c r="E1206" s="230" t="n">
        <x:f>C1206-D1206</x:f>
        <x:v>0</x:v>
      </x:c>
      <x:c r="F1206" s="177" t="str">
        <x:f>IF(ABS(E1206)&lt;0.000001,"PASS","FAIL")</x:f>
        <x:v>PASS</x:v>
      </x:c>
      <x:c r="G1206" s="177" t="str">
        <x:v>分部收入×分部毛利率与合并毛利勾稽</x:v>
      </x:c>
      <x:c r="H1206" s="184"/>
    </x:row>
    <x:row r="1207">
      <x:c r="A1207" s="177" t="str">
        <x:v>R9-DYN-SEGMENT-REVENUE-2027E</x:v>
      </x:c>
      <x:c r="B1207" s="177" t="str">
        <x:v>2027E分部收入加总</x:v>
      </x:c>
      <x:c r="C1207" s="230" t="n">
        <x:f>'公司业绩全览'!E60</x:f>
        <x:v>39.989853600000004</x:v>
      </x:c>
      <x:c r="D1207" s="230" t="n">
        <x:f>'公司业绩全览'!E27</x:f>
        <x:v>39.989853600000004</x:v>
      </x:c>
      <x:c r="E1207" s="230" t="n">
        <x:f>C1207-D1207</x:f>
        <x:v>0</x:v>
      </x:c>
      <x:c r="F1207" s="177" t="str">
        <x:f>IF(ABS(E1207)&lt;0.000001,"PASS","FAIL")</x:f>
        <x:v>PASS</x:v>
      </x:c>
      <x:c r="G1207" s="177" t="str">
        <x:v>所有应用市场与合并收入勾稽</x:v>
      </x:c>
      <x:c r="H1207" s="184"/>
    </x:row>
    <x:row r="1208">
      <x:c r="A1208" s="177" t="str">
        <x:v>R9-DYN-SEGMENT-GP-2027E</x:v>
      </x:c>
      <x:c r="B1208" s="177" t="str">
        <x:v>2027E分部毛利加总</x:v>
      </x:c>
      <x:c r="C1208" s="230" t="n">
        <x:f>'公司业绩全览'!E82</x:f>
        <x:v>22.32173216</x:v>
      </x:c>
      <x:c r="D1208" s="230" t="n">
        <x:f>'公司业绩全览'!E29</x:f>
        <x:v>22.32173216</x:v>
      </x:c>
      <x:c r="E1208" s="230" t="n">
        <x:f>C1208-D1208</x:f>
        <x:v>0</x:v>
      </x:c>
      <x:c r="F1208" s="177" t="str">
        <x:f>IF(ABS(E1208)&lt;0.000001,"PASS","FAIL")</x:f>
        <x:v>PASS</x:v>
      </x:c>
      <x:c r="G1208" s="177" t="str">
        <x:v>分部收入×分部毛利率与合并毛利勾稽</x:v>
      </x:c>
      <x:c r="H1208" s="184"/>
    </x:row>
    <x:row r="1209">
      <x:c r="A1209" s="177" t="str">
        <x:v>R9-DYN-SEGMENT-REVENUE-2028E</x:v>
      </x:c>
      <x:c r="B1209" s="177" t="str">
        <x:v>2028E分部收入加总</x:v>
      </x:c>
      <x:c r="C1209" s="230" t="n">
        <x:f>'公司业绩全览'!F60</x:f>
        <x:v>107.689760688</x:v>
      </x:c>
      <x:c r="D1209" s="230" t="n">
        <x:f>'公司业绩全览'!F27</x:f>
        <x:v>107.689760688</x:v>
      </x:c>
      <x:c r="E1209" s="230" t="n">
        <x:f>C1209-D1209</x:f>
        <x:v>0</x:v>
      </x:c>
      <x:c r="F1209" s="177" t="str">
        <x:f>IF(ABS(E1209)&lt;0.000001,"PASS","FAIL")</x:f>
        <x:v>PASS</x:v>
      </x:c>
      <x:c r="G1209" s="177" t="str">
        <x:v>所有应用市场与合并收入勾稽</x:v>
      </x:c>
      <x:c r="H1209" s="184"/>
    </x:row>
    <x:row r="1210">
      <x:c r="A1210" s="177" t="str">
        <x:v>R9-DYN-SEGMENT-GP-2028E</x:v>
      </x:c>
      <x:c r="B1210" s="177" t="str">
        <x:v>2028E分部毛利加总</x:v>
      </x:c>
      <x:c r="C1210" s="230" t="n">
        <x:f>'公司业绩全览'!F82</x:f>
        <x:v>62.2895589128</x:v>
      </x:c>
      <x:c r="D1210" s="230" t="n">
        <x:f>'公司业绩全览'!F29</x:f>
        <x:v>62.2895589128</x:v>
      </x:c>
      <x:c r="E1210" s="230" t="n">
        <x:f>C1210-D1210</x:f>
        <x:v>0</x:v>
      </x:c>
      <x:c r="F1210" s="177" t="str">
        <x:f>IF(ABS(E1210)&lt;0.000001,"PASS","FAIL")</x:f>
        <x:v>PASS</x:v>
      </x:c>
      <x:c r="G1210" s="177" t="str">
        <x:v>分部收入×分部毛利率与合并毛利勾稽</x:v>
      </x:c>
      <x:c r="H1210" s="184"/>
    </x:row>
    <x:row r="1211">
      <x:c r="A1211" s="177" t="str">
        <x:v>R9-DYN-SEGMENT-REVENUE-2029E</x:v>
      </x:c>
      <x:c r="B1211" s="177" t="str">
        <x:v>2029E分部收入加总</x:v>
      </x:c>
      <x:c r="C1211" s="230" t="n">
        <x:f>'公司业绩全览'!G60</x:f>
        <x:v>184.96422548448004</x:v>
      </x:c>
      <x:c r="D1211" s="230" t="n">
        <x:f>'公司业绩全览'!G27</x:f>
        <x:v>184.96422548448004</x:v>
      </x:c>
      <x:c r="E1211" s="230" t="n">
        <x:f>C1211-D1211</x:f>
        <x:v>0</x:v>
      </x:c>
      <x:c r="F1211" s="177" t="str">
        <x:f>IF(ABS(E1211)&lt;0.000001,"PASS","FAIL")</x:f>
        <x:v>PASS</x:v>
      </x:c>
      <x:c r="G1211" s="177" t="str">
        <x:v>所有应用市场与合并收入勾稽</x:v>
      </x:c>
      <x:c r="H1211" s="184"/>
    </x:row>
    <x:row r="1212">
      <x:c r="A1212" s="177" t="str">
        <x:v>R9-DYN-SEGMENT-GP-2029E</x:v>
      </x:c>
      <x:c r="B1212" s="177" t="str">
        <x:v>2029E分部毛利加总</x:v>
      </x:c>
      <x:c r="C1212" s="230" t="n">
        <x:f>'公司业绩全览'!G82</x:f>
        <x:v>108.24532754068804</x:v>
      </x:c>
      <x:c r="D1212" s="230" t="n">
        <x:f>'公司业绩全览'!G29</x:f>
        <x:v>108.24532754068804</x:v>
      </x:c>
      <x:c r="E1212" s="230" t="n">
        <x:f>C1212-D1212</x:f>
        <x:v>0</x:v>
      </x:c>
      <x:c r="F1212" s="177" t="str">
        <x:f>IF(ABS(E1212)&lt;0.000001,"PASS","FAIL")</x:f>
        <x:v>PASS</x:v>
      </x:c>
      <x:c r="G1212" s="177" t="str">
        <x:v>分部收入×分部毛利率与合并毛利勾稽</x:v>
      </x:c>
      <x:c r="H1212" s="184"/>
    </x:row>
    <x:row r="1213">
      <x:c r="A1213" s="177" t="str">
        <x:v>R9-DYN-SEGMENT-REVENUE-2030E</x:v>
      </x:c>
      <x:c r="B1213" s="177" t="str">
        <x:v>2030E分部收入加总</x:v>
      </x:c>
      <x:c r="C1213" s="230" t="n">
        <x:f>'公司业绩全览'!H60</x:f>
        <x:v>256.108988794752</x:v>
      </x:c>
      <x:c r="D1213" s="230" t="n">
        <x:f>'公司业绩全览'!H27</x:f>
        <x:v>256.108988794752</x:v>
      </x:c>
      <x:c r="E1213" s="230" t="n">
        <x:f>C1213-D1213</x:f>
        <x:v>0</x:v>
      </x:c>
      <x:c r="F1213" s="177" t="str">
        <x:f>IF(ABS(E1213)&lt;0.000001,"PASS","FAIL")</x:f>
        <x:v>PASS</x:v>
      </x:c>
      <x:c r="G1213" s="177" t="str">
        <x:v>所有应用市场与合并收入勾稽</x:v>
      </x:c>
      <x:c r="H1213" s="184"/>
    </x:row>
    <x:row r="1214">
      <x:c r="A1214" s="177" t="str">
        <x:v>R9-DYN-SEGMENT-GP-2030E</x:v>
      </x:c>
      <x:c r="B1214" s="177" t="str">
        <x:v>2030E分部毛利加总</x:v>
      </x:c>
      <x:c r="C1214" s="230" t="n">
        <x:f>'公司业绩全览'!H82</x:f>
        <x:v>150.56292397685118</x:v>
      </x:c>
      <x:c r="D1214" s="230" t="n">
        <x:f>'公司业绩全览'!H29</x:f>
        <x:v>150.56292397685118</x:v>
      </x:c>
      <x:c r="E1214" s="230" t="n">
        <x:f>C1214-D1214</x:f>
        <x:v>0</x:v>
      </x:c>
      <x:c r="F1214" s="177" t="str">
        <x:f>IF(ABS(E1214)&lt;0.000001,"PASS","FAIL")</x:f>
        <x:v>PASS</x:v>
      </x:c>
      <x:c r="G1214" s="177" t="str">
        <x:v>分部收入×分部毛利率与合并毛利勾稽</x:v>
      </x:c>
      <x:c r="H1214" s="184"/>
    </x:row>
    <x:row r="1215">
      <x:c r="A1215" s="177" t="str">
        <x:v>R9-DYN-UNKNOWN-GM-BLANK</x:v>
      </x:c>
      <x:c r="B1215" s="177" t="str">
        <x:v>未披露历史分部毛利率为空</x:v>
      </x:c>
      <x:c r="C1215" s="230" t="n">
        <x:f>COUNT('公司业绩全览'!B64:C70)</x:f>
        <x:v>0</x:v>
      </x:c>
      <x:c r="D1215" s="230" t="n">
        <x:f>0</x:f>
        <x:v>0</x:v>
      </x:c>
      <x:c r="E1215" s="230" t="n">
        <x:f>C1215-D1215</x:f>
        <x:v>0</x:v>
      </x:c>
      <x:c r="F1215" s="177" t="str">
        <x:f>IF(ABS(E1215)&lt;0.000001,"PASS","FAIL")</x:f>
        <x:v>PASS</x:v>
      </x:c>
      <x:c r="G1215" s="177" t="str">
        <x:v>不得以0或产品分类毛利率代填</x:v>
      </x:c>
      <x:c r="H1215" s="184"/>
    </x:row>
    <x:row r="1216">
      <x:c r="A1216" s="177" t="str">
        <x:v>R9-DYN-UNKNOWN-GP-BLANK</x:v>
      </x:c>
      <x:c r="B1216" s="177" t="str">
        <x:v>未披露历史分部毛利润为空</x:v>
      </x:c>
      <x:c r="C1216" s="230" t="n">
        <x:f>COUNT('公司业绩全览'!B75:C81)</x:f>
        <x:v>0</x:v>
      </x:c>
      <x:c r="D1216" s="230" t="n">
        <x:f>0</x:f>
        <x:v>0</x:v>
      </x:c>
      <x:c r="E1216" s="230" t="n">
        <x:f>C1216-D1216</x:f>
        <x:v>0</x:v>
      </x:c>
      <x:c r="F1216" s="177" t="str">
        <x:f>IF(ABS(E1216)&lt;0.000001,"PASS","FAIL")</x:f>
        <x:v>PASS</x:v>
      </x:c>
      <x:c r="G1216" s="177" t="str">
        <x:v>合并毛利润已披露，但不能分摊伪造分部毛利</x:v>
      </x:c>
      <x:c r="H1216" s="184"/>
    </x:row>
    <x:row r="1217">
      <x:c r="A1217" s="184"/>
      <x:c r="B1217" s="184"/>
      <x:c r="C1217" s="184"/>
      <x:c r="D1217" s="184"/>
      <x:c r="E1217" s="184"/>
      <x:c r="F1217" s="184"/>
      <x:c r="G1217" s="184"/>
      <x:c r="H1217" s="184"/>
    </x:row>
    <x:row r="1218">
      <x:c r="A1218" s="184"/>
      <x:c r="B1218" s="184"/>
      <x:c r="C1218" s="184"/>
      <x:c r="D1218" s="184"/>
      <x:c r="E1218" s="184"/>
      <x:c r="F1218" s="184"/>
      <x:c r="G1218" s="184"/>
      <x:c r="H1218" s="189" t="str">
        <x:v> </x:v>
      </x:c>
    </x:row>
  </x:sheetData>
  <x:mergeCells>
    <x:mergeCell ref="A1:G1"/>
    <x:mergeCell ref="A2:G2"/>
    <x:mergeCell ref="A334:G334"/>
  </x:mergeCells>
  <x:conditionalFormatting sqref="F5:F331">
    <x:cfRule type="containsText" dxfId="0" priority="1" operator="containsText" text="PASS"/>
    <x:cfRule type="containsText" dxfId="1" priority="2" operator="containsText" text="FAIL"/>
  </x:conditionalFormatting>
  <x:conditionalFormatting sqref="F336:F1216">
    <x:cfRule type="containsText" dxfId="2" priority="3" operator="containsText" text="FAIL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6" hidden="0" customWidth="1"/>
    <x:col min="3" max="3" width="34" hidden="0" customWidth="1"/>
    <x:col min="4" max="4" width="14" hidden="0" customWidth="1"/>
    <x:col min="5" max="5" width="30" hidden="0" customWidth="1"/>
    <x:col min="6" max="6" width="80" hidden="0" customWidth="1"/>
    <x:col min="7" max="7" width="28" hidden="0" customWidth="1"/>
    <x:col min="8" max="8" width="28" hidden="0" customWidth="1"/>
  </x:cols>
  <x:sheetData>
    <x:row r="1" ht="32" customHeight="1">
      <x:c r="A1" s="172" t="str">
        <x:v>公开资料与延伸阅读</x:v>
      </x:c>
      <x:c r="B1" s="172"/>
      <x:c r="C1" s="172"/>
      <x:c r="D1" s="172"/>
      <x:c r="E1" s="172"/>
      <x:c r="F1" s="172"/>
      <x:c r="G1" s="172"/>
      <x:c r="H1" s="172"/>
      <x:c r="I1" s="184"/>
    </x:row>
    <x:row r="2" ht="28" customHeight="1">
      <x:c r="A2" s="174" t="str">
        <x:v>一手披露、行业标准、产业研究和论文按口径分层。</x:v>
      </x:c>
      <x:c r="B2" s="174"/>
      <x:c r="C2" s="174"/>
      <x:c r="D2" s="174"/>
      <x:c r="E2" s="174"/>
      <x:c r="F2" s="174"/>
      <x:c r="G2" s="174"/>
      <x:c r="H2" s="174"/>
      <x:c r="I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</x:row>
    <x:row r="4">
      <x:c r="A4" s="176" t="str">
        <x:v>ID</x:v>
      </x:c>
      <x:c r="B4" s="176" t="str">
        <x:v>类型</x:v>
      </x:c>
      <x:c r="C4" s="176" t="str">
        <x:v>标题</x:v>
      </x:c>
      <x:c r="D4" s="176" t="str">
        <x:v>日期</x:v>
      </x:c>
      <x:c r="E4" s="176" t="str">
        <x:v>用途</x:v>
      </x:c>
      <x:c r="F4" s="176" t="str">
        <x:v>URL</x:v>
      </x:c>
      <x:c r="G4" s="176" t="str">
        <x:v>核心口径</x:v>
      </x:c>
      <x:c r="H4" s="176" t="str">
        <x:v>边界</x:v>
      </x:c>
      <x:c r="I4" s="184"/>
    </x:row>
    <x:row r="5" ht="46" customHeight="1">
      <x:c r="A5" s="177" t="str">
        <x:v>S01</x:v>
      </x:c>
      <x:c r="B5" s="177" t="str">
        <x:v>一手披露</x:v>
      </x:c>
      <x:c r="C5" s="177" t="str">
        <x:v>炬光科技2026年半年度报告</x:v>
      </x:c>
      <x:c r="D5" s="177" t="str">
        <x:v>2026-08-08</x:v>
      </x:c>
      <x:c r="E5" s="177" t="str">
        <x:v>H1财务、分应用收入、业务进展、风险与股本</x:v>
      </x:c>
      <x:c r="F5" s="177" t="str">
        <x:v>https://static.sse.com.cn/disclosure/listedinfo/announcement/c/new/2026-08-08/688167_20260808_F20M.pdf</x:v>
      </x:c>
      <x:c r="G5" s="177" t="str">
        <x:v>法定披露</x:v>
      </x:c>
      <x:c r="H5" s="177" t="str">
        <x:v>实际不等于预测</x:v>
      </x:c>
      <x:c r="I5" s="184"/>
    </x:row>
    <x:row r="6" ht="46" customHeight="1">
      <x:c r="A6" s="177" t="str">
        <x:v>S02</x:v>
      </x:c>
      <x:c r="B6" s="177" t="str">
        <x:v>一手披露</x:v>
      </x:c>
      <x:c r="C6" s="177" t="str">
        <x:v>2026年度向特定对象发行A股股票预案</x:v>
      </x:c>
      <x:c r="D6" s="177" t="str">
        <x:v>2026-08-08</x:v>
      </x:c>
      <x:c r="E6" s="177" t="str">
        <x:v>三类光互连募投项目、发行上限与补充流动资金</x:v>
      </x:c>
      <x:c r="F6" s="177" t="str">
        <x:v>https://www.sse.com.cn/disclosure/listedinfo/announcement/c/new/2026-08-08/688167_20260808_TKAK.pdf</x:v>
      </x:c>
      <x:c r="G6" s="177" t="str">
        <x:v>新增股份≤5%</x:v>
      </x:c>
      <x:c r="H6" s="177" t="str">
        <x:v>预案不等于已完成发行</x:v>
      </x:c>
      <x:c r="I6" s="184"/>
    </x:row>
    <x:row r="7" ht="92" customHeight="1">
      <x:c r="A7" s="177" t="str">
        <x:v>S03</x:v>
      </x:c>
      <x:c r="B7" s="177" t="str">
        <x:v>一手披露</x:v>
      </x:c>
      <x:c r="C7" s="177" t="str">
        <x:v>2026年8月投资者关系活动记录</x:v>
      </x:c>
      <x:c r="D7" s="177" t="str">
        <x:v>2026-08-31</x:v>
      </x:c>
      <x:c r="E7" s="177" t="str">
        <x:v>V型槽能力、光通信进度、OCS量产与CPO风险提示</x:v>
      </x:c>
      <x:c r="F7" s="177" t="str">
        <x:v>https://focuslight-www.oss-ap-southeast-1.aliyuncs.com/wp-content/uploads/2026/09/%E8%A5%BF%E5%AE%89%E7%82%AC%E5%85%89%E7%A7%91%E6%8A%80%E8%82%A1%E4%BB%BD%E6%9C%89%E9%99%90%E5%85%AC%E5%8F%B8%E6%8A%95%E8%B5%84%E8%80%85%E5%85%B3%E7%B3%BB%E8%AE%B0%E5%BD%95%E8%A1%A8%EF%BC%882026%E5%B9%B48%E6%9C%8813%E6%97%A5-8%E6%9C%8831%E6%97%A5%EF%BC%89.pdf</x:v>
      </x:c>
      <x:c r="G7" s="177" t="str">
        <x:v>V型槽、光通信与OCS进展</x:v>
      </x:c>
      <x:c r="H7" s="177" t="str">
        <x:v>交流数据需与正式财报交叉验证</x:v>
      </x:c>
      <x:c r="I7" s="184"/>
    </x:row>
    <x:row r="8" ht="46" customHeight="1">
      <x:c r="A8" s="177" t="str">
        <x:v>S04</x:v>
      </x:c>
      <x:c r="B8" s="177" t="str">
        <x:v>公司官网</x:v>
      </x:c>
      <x:c r="C8" s="177" t="str">
        <x:v>NPO / CPO / ELSFP 光学解决方案</x:v>
      </x:c>
      <x:c r="D8" s="177" t="str">
        <x:v>2026-08-27</x:v>
      </x:c>
      <x:c r="E8" s="177" t="str">
        <x:v>端到端产品地图</x:v>
      </x:c>
      <x:c r="F8" s="177" t="str">
        <x:v>https://www.focuslight.com/news-events/events/presentation-optical-solutions-and-components-for-the-npo-cpo-elsfp-ecosystem/?action=&amp;goods_id=&amp;lang=cn&amp;post_id=</x:v>
      </x:c>
      <x:c r="G8" s="177" t="str">
        <x:v>FAU/PIC/ELS产品位置</x:v>
      </x:c>
      <x:c r="H8" s="177" t="str">
        <x:v>技术介绍不等于销量指引</x:v>
      </x:c>
      <x:c r="I8" s="184"/>
    </x:row>
    <x:row r="9" ht="46" customHeight="1">
      <x:c r="A9" s="177" t="str">
        <x:v>S05</x:v>
      </x:c>
      <x:c r="B9" s="177" t="str">
        <x:v>公司官网</x:v>
      </x:c>
      <x:c r="C9" s="177" t="str">
        <x:v>公司与全球业务布局</x:v>
      </x:c>
      <x:c r="D9" s="177" t="str">
        <x:v>持续更新</x:v>
      </x:c>
      <x:c r="E9" s="177" t="str">
        <x:v>技术平台与全球制造网络</x:v>
      </x:c>
      <x:c r="F9" s="177" t="str">
        <x:v>https://www.focuslight.com/about/company/focuslight/?lang=cn</x:v>
      </x:c>
      <x:c r="G9" s="177" t="str">
        <x:v>五类工艺平台与全球制造网络</x:v>
      </x:c>
      <x:c r="H9" s="177" t="str">
        <x:v>官网信息持续更新</x:v>
      </x:c>
      <x:c r="I9" s="184"/>
    </x:row>
    <x:row r="10" ht="46" customHeight="1">
      <x:c r="A10" s="177" t="str">
        <x:v>S06</x:v>
      </x:c>
      <x:c r="B10" s="177" t="str">
        <x:v>一手披露</x:v>
      </x:c>
      <x:c r="C10" s="177" t="str">
        <x:v>关于签署技术许可协议的公告</x:v>
      </x:c>
      <x:c r="D10" s="177" t="str">
        <x:v>2026-06-11</x:v>
      </x:c>
      <x:c r="E10" s="177" t="str">
        <x:v>MPLA许可范围、里程碑款、特许权费阶梯与竞业边界</x:v>
      </x:c>
      <x:c r="F10" s="177" t="str">
        <x:v>https://www.sse.com.cn/disclosure/listedinfo/announcement/c/new/2026-06-11/688167_20260611_ZWZG.pdf</x:v>
      </x:c>
      <x:c r="G10" s="177" t="str">
        <x:v>微棱镜透镜阵列与垂直光学耦合工艺</x:v>
      </x:c>
      <x:c r="H10" s="177" t="str">
        <x:v>客户未披露；里程碑和销量决定收入</x:v>
      </x:c>
      <x:c r="I10" s="184"/>
    </x:row>
    <x:row r="11" ht="46" customHeight="1">
      <x:c r="A11" s="177" t="str">
        <x:v>S07</x:v>
      </x:c>
      <x:c r="B11" s="177" t="str">
        <x:v>产业研究</x:v>
      </x:c>
      <x:c r="C11" s="177" t="str">
        <x:v>全球数据通信光互连市场预测（Frost &amp; Sullivan）</x:v>
      </x:c>
      <x:c r="D11" s="177" t="str">
        <x:v>2026-04-10</x:v>
      </x:c>
      <x:c r="E11" s="177" t="str">
        <x:v>天孚通信港交所申请版本披露：2030年可插拔601亿美元、CPO 286亿美元，合计887亿美元</x:v>
      </x:c>
      <x:c r="F11" s="177" t="str">
        <x:v>https://www1.hkexnews.hk/app/sehk/2026/108432/documents/sehk26041000707.pdf</x:v>
      </x:c>
      <x:c r="G11" s="177" t="str">
        <x:v>2030可插拔601亿美元、CPO 286亿美元</x:v>
      </x:c>
      <x:c r="H11" s="177" t="str">
        <x:v>载于港交所申请版本；NPO未单列</x:v>
      </x:c>
      <x:c r="I11" s="184"/>
    </x:row>
    <x:row r="12" ht="46" customHeight="1">
      <x:c r="A12" s="177" t="str">
        <x:v>S07B</x:v>
      </x:c>
      <x:c r="B12" s="177" t="str">
        <x:v>产业研究</x:v>
      </x:c>
      <x:c r="C12" s="177" t="str">
        <x:v>Co-Packaged Optics Market &amp; Supply Chain Ecosystem</x:v>
      </x:c>
      <x:c r="D12" s="177" t="str">
        <x:v>2026-08-21</x:v>
      </x:c>
      <x:c r="E12" s="177" t="str">
        <x:v>交叉验证：2030年光模块总市场超过843亿美元，CPO接近299亿美元</x:v>
      </x:c>
      <x:c r="F12" s="177" t="str">
        <x:v>https://www.techinsights.com/blog/co-packaged-optics-cpo-market-supply-chain-ecosystem</x:v>
      </x:c>
      <x:c r="G12" s="177" t="str">
        <x:v>2030光模块总市场超过843亿美元、CPO接近299亿美元</x:v>
      </x:c>
      <x:c r="H12" s="177" t="str">
        <x:v>独立机构预测，口径与S07不完全相同</x:v>
      </x:c>
      <x:c r="I12" s="184"/>
    </x:row>
    <x:row r="13" ht="46" customHeight="1">
      <x:c r="A13" s="177" t="str">
        <x:v>S08</x:v>
      </x:c>
      <x:c r="B13" s="177" t="str">
        <x:v>产业研究</x:v>
      </x:c>
      <x:c r="C13" s="177" t="str">
        <x:v>CPO与NPO市场预测</x:v>
      </x:c>
      <x:c r="D13" s="177" t="str">
        <x:v>2026-06-15</x:v>
      </x:c>
      <x:c r="E13" s="177" t="str">
        <x:v>2030年NPO与CPO合计超过390亿美元；与Frost &amp; Sullivan产品拆分口径不同</x:v>
      </x:c>
      <x:c r="F13" s="177" t="str">
        <x:v>https://www.trendforce.cn/presscenter/news/20260615-13099.html</x:v>
      </x:c>
      <x:c r="G13" s="177" t="str">
        <x:v>2030 NPO+CPO超过390亿美元</x:v>
      </x:c>
      <x:c r="H13" s="177" t="str">
        <x:v>与S07产品拆分口径不相加</x:v>
      </x:c>
      <x:c r="I13" s="184"/>
    </x:row>
    <x:row r="14" ht="46" customHeight="1">
      <x:c r="A14" s="177" t="str">
        <x:v>S09</x:v>
      </x:c>
      <x:c r="B14" s="177" t="str">
        <x:v>产业研究</x:v>
      </x:c>
      <x:c r="C14" s="177" t="str">
        <x:v>OCS市场预测</x:v>
      </x:c>
      <x:c r="D14" s="177" t="str">
        <x:v>2026-07</x:v>
      </x:c>
      <x:c r="E14" s="177" t="str">
        <x:v>OCS整机TAM、客户集中与GPU scale-up增量</x:v>
      </x:c>
      <x:c r="F14" s="177" t="str">
        <x:v>https://cignal.ai/2026/07/ocs-market-to-top-8-billion-by-2030/</x:v>
      </x:c>
      <x:c r="G14" s="177" t="str">
        <x:v>2030 OCS整机市场超过80亿美元</x:v>
      </x:c>
      <x:c r="H14" s="177" t="str">
        <x:v>整机TAM不等于炬光元器件SAM</x:v>
      </x:c>
      <x:c r="I14" s="184"/>
    </x:row>
    <x:row r="15" ht="46" customHeight="1">
      <x:c r="A15" s="177" t="str">
        <x:v>S10</x:v>
      </x:c>
      <x:c r="B15" s="177" t="str">
        <x:v>行业标准</x:v>
      </x:c>
      <x:c r="C15" s="177" t="str">
        <x:v>OIF 3.2T CPO实施协议</x:v>
      </x:c>
      <x:c r="D15" s="177" t="str">
        <x:v>2023-04</x:v>
      </x:c>
      <x:c r="E15" s="177" t="str">
        <x:v>CPO模块电光接口与边缘带宽密度</x:v>
      </x:c>
      <x:c r="F15" s="177" t="str">
        <x:v>https://www.oiforum.com/oif-launches-the-industrys-first-co-packaging-standard-the-3-2t-co-packaged-module-implementation-agreement/</x:v>
      </x:c>
      <x:c r="G15" s="177" t="str">
        <x:v>3.2T CPO模块接口与边缘密度</x:v>
      </x:c>
      <x:c r="H15" s="177" t="str">
        <x:v>标准不等于量产量</x:v>
      </x:c>
      <x:c r="I15" s="184"/>
    </x:row>
    <x:row r="16" ht="46" customHeight="1">
      <x:c r="A16" s="177" t="str">
        <x:v>S11</x:v>
      </x:c>
      <x:c r="B16" s="177" t="str">
        <x:v>技术白皮书</x:v>
      </x:c>
      <x:c r="C16" s="177" t="str">
        <x:v>OCP Optical Circuit Switching for AI</x:v>
      </x:c>
      <x:c r="D16" s="177" t="str">
        <x:v>2026-04</x:v>
      </x:c>
      <x:c r="E16" s="177" t="str">
        <x:v>OCS架构、应用边界、技术路线与控制平面</x:v>
      </x:c>
      <x:c r="F16" s="177" t="str">
        <x:v>https://www.opencompute.org/documents/ocp-ocs-white-paper-april-2026-final-pdf</x:v>
      </x:c>
      <x:c r="G16" s="177" t="str">
        <x:v>OCS与电包交换协同</x:v>
      </x:c>
      <x:c r="H16" s="177" t="str">
        <x:v>技术路线仍在竞争</x:v>
      </x:c>
      <x:c r="I16" s="184"/>
    </x:row>
    <x:row r="17" ht="46" customHeight="1">
      <x:c r="A17" s="177" t="str">
        <x:v>S12</x:v>
      </x:c>
      <x:c r="B17" s="177" t="str">
        <x:v>产品发布</x:v>
      </x:c>
      <x:c r="C17" s="177" t="str">
        <x:v>NVIDIA Spectrum-X / Quantum-X Photonics</x:v>
      </x:c>
      <x:c r="D17" s="177" t="str">
        <x:v>2025-03-18</x:v>
      </x:c>
      <x:c r="E17" s="177" t="str">
        <x:v>200G/lane CPO交换机、端口配置与供应链</x:v>
      </x:c>
      <x:c r="F17" s="177" t="str">
        <x:v>https://nvidianews.nvidia.com/news/nvidia-spectrum-x-co-packaged-optics-networking-switches-ai-factories/</x:v>
      </x:c>
      <x:c r="G17" s="177" t="str">
        <x:v>200G/lane CPO交换机与端口配置</x:v>
      </x:c>
      <x:c r="H17" s="177" t="str">
        <x:v>产品发布不等于全行业量产</x:v>
      </x:c>
      <x:c r="I17" s="184"/>
    </x:row>
    <x:row r="18" ht="46" customHeight="1">
      <x:c r="A18" s="177" t="str">
        <x:v>S13</x:v>
      </x:c>
      <x:c r="B18" s="177" t="str">
        <x:v>产品发布</x:v>
      </x:c>
      <x:c r="C18" s="177" t="str">
        <x:v>Broadcom TH6-Davisson</x:v>
      </x:c>
      <x:c r="D18" s="177" t="str">
        <x:v>2025-10-08</x:v>
      </x:c>
      <x:c r="E18" s="177" t="str">
        <x:v>102.4Tbps、16个6.4T光引擎与ELSFP架构</x:v>
      </x:c>
      <x:c r="F18" s="177" t="str">
        <x:v>https://www.broadcom.com/company/news/product-releases/63626</x:v>
      </x:c>
      <x:c r="G18" s="177" t="str">
        <x:v>102.4Tbps、16个6.4T光引擎与ELSFP</x:v>
      </x:c>
      <x:c r="H18" s="177" t="str">
        <x:v>产品规划需跟踪客户采用</x:v>
      </x:c>
      <x:c r="I18" s="184"/>
    </x:row>
    <x:row r="19" ht="46" customHeight="1">
      <x:c r="A19" s="177" t="str">
        <x:v>S14</x:v>
      </x:c>
      <x:c r="B19" s="177" t="str">
        <x:v>学术论文</x:v>
      </x:c>
      <x:c r="C19" s="177" t="str">
        <x:v>Jupiter Evolving</x:v>
      </x:c>
      <x:c r="D19" s="177" t="str">
        <x:v>2022</x:v>
      </x:c>
      <x:c r="E19" s="177" t="str">
        <x:v>Google OCS网络的容量、成本、功耗与直达路径效果</x:v>
      </x:c>
      <x:c r="F19" s="177" t="str">
        <x:v>https://research.google/pubs/jupiter-evolving-transforming-googles-datacenter-network-via-optical-circuit-switches-and-software-defined-networking/</x:v>
      </x:c>
      <x:c r="G19" s="177" t="str">
        <x:v>Google OCS网络容量、成本与功耗</x:v>
      </x:c>
      <x:c r="H19" s="177" t="str">
        <x:v>特定数据中心架构</x:v>
      </x:c>
      <x:c r="I19" s="184"/>
    </x:row>
    <x:row r="20" ht="46" customHeight="1">
      <x:c r="A20" s="177" t="str">
        <x:v>S15</x:v>
      </x:c>
      <x:c r="B20" s="177" t="str">
        <x:v>学术论文</x:v>
      </x:c>
      <x:c r="C20" s="177" t="str">
        <x:v>TPU v4 Superpod</x:v>
      </x:c>
      <x:c r="D20" s="177" t="str">
        <x:v>2023</x:v>
      </x:c>
      <x:c r="E20" s="177" t="str">
        <x:v>可重构OCS拓扑、系统成本与功耗占比</x:v>
      </x:c>
      <x:c r="F20" s="177" t="str">
        <x:v>https://arxiv.org/abs/2304.01433</x:v>
      </x:c>
      <x:c r="G20" s="177" t="str">
        <x:v>可重构TPU v4 OCS拓扑</x:v>
      </x:c>
      <x:c r="H20" s="177" t="str">
        <x:v>特定系统与工作负载</x:v>
      </x:c>
      <x:c r="I20" s="184"/>
    </x:row>
    <x:row r="21" ht="46" customHeight="1">
      <x:c r="A21" s="177" t="str">
        <x:v>S17</x:v>
      </x:c>
      <x:c r="B21" s="177" t="str">
        <x:v>同业一手披露</x:v>
      </x:c>
      <x:c r="C21" s="177" t="str">
        <x:v>Enplas FY2024年度业绩资料</x:v>
      </x:c>
      <x:c r="D21" s="177" t="str">
        <x:v>2024-04-30</x:v>
      </x:c>
      <x:c r="E21" s="177" t="str">
        <x:v>Digital Communication分部收入、营业利润及光纤透镜收入构成</x:v>
      </x:c>
      <x:c r="F21" s="177" t="str">
        <x:v>https://www.enplas.co.jp/en/english/wp-content/uploads/2024/04/2024_4Q_e.pdf</x:v>
      </x:c>
      <x:c r="G21" s="177" t="str">
        <x:v>Digital Communication营业利润率55.2%</x:v>
      </x:c>
      <x:c r="H21" s="177" t="str">
        <x:v>分部含LED扩散透镜；营业利润率不等于毛利率</x:v>
      </x:c>
      <x:c r="I21" s="184"/>
    </x:row>
    <x:row r="22" ht="92" customHeight="1">
      <x:c r="A22" s="177" t="str">
        <x:v>S18</x:v>
      </x:c>
      <x:c r="B22" s="177" t="str">
        <x:v>一手披露</x:v>
      </x:c>
      <x:c r="C22" s="177" t="str">
        <x:v>炬光科技2021年年度报告</x:v>
      </x:c>
      <x:c r="D22" s="177" t="str">
        <x:v>2022-04-28</x:v>
      </x:c>
      <x:c r="E22" s="177" t="str">
        <x:v>激光光学业务收入、成本、毛利率及制造效率说明</x:v>
      </x:c>
      <x:c r="F22" s="177" t="str">
        <x:v>https://www.focuslight.com/wp-content/uploads/2022/11/2022-04-28-%E8%A5%BF%E5%AE%89%E7%82%AC%E5%85%89%E7%A7%91%E6%8A%80%E8%82%A1%E4%BB%BD%E6%9C%89%E9%99%90%E5%85%AC%E5%8F%B82021%E5%B9%B4%E5%B9%B4%E5%BA%A6%E6%8A%A5%E5%91%8A-1.pdf</x:v>
      </x:c>
      <x:c r="G22" s="177" t="str">
        <x:v>激光光学产品毛利率63.89%</x:v>
      </x:c>
      <x:c r="H22" s="177" t="str">
        <x:v>历史产品口径；不等同未来光通信业务</x:v>
      </x:c>
      <x:c r="I22" s="184"/>
    </x:row>
    <x:row r="23" ht="46" customHeight="1">
      <x:c r="A23" s="177" t="str">
        <x:v>S19</x:v>
      </x:c>
      <x:c r="B23" s="177" t="str">
        <x:v>一手披露</x:v>
      </x:c>
      <x:c r="C23" s="177" t="str">
        <x:v>炬光科技2022年年度报告</x:v>
      </x:c>
      <x:c r="D23" s="177" t="str">
        <x:v>2023-04-26</x:v>
      </x:c>
      <x:c r="E23" s="177" t="str">
        <x:v>重分类后的激光光学元器件收入、成本与毛利率</x:v>
      </x:c>
      <x:c r="F23" s="177" t="str">
        <x:v>https://static.sse.com.cn/disclosure/listedinfo/announcement/c/new/2023-04-26/688167_20230426_BSFH.pdf</x:v>
      </x:c>
      <x:c r="G23" s="177" t="str">
        <x:v>重分类后激光光学元器件毛利率60.23%</x:v>
      </x:c>
      <x:c r="H23" s="177" t="str">
        <x:v>2022年分类调整；不与2021重述数混用</x:v>
      </x:c>
      <x:c r="I23" s="184"/>
    </x:row>
    <x:row r="24" ht="46" customHeight="1">
      <x:c r="A24" s="177" t="str">
        <x:v>W01</x:v>
      </x:c>
      <x:c r="B24" s="177" t="str">
        <x:v>华鑫AI研究</x:v>
      </x:c>
      <x:c r="C24" s="177" t="str">
        <x:v>AI总量模型</x:v>
      </x:c>
      <x:c r="D24" s="177" t="str">
        <x:v>2026-08-18</x:v>
      </x:c>
      <x:c r="E24" s="177" t="str">
        <x:v>CoWoS、加速器与光互联需求</x:v>
      </x:c>
      <x:c r="F24" s="177" t="str">
        <x:v>https://hxai.d91.global/industry/1</x:v>
      </x:c>
      <x:c r="G24" s="177" t="str">
        <x:v>2025—2030情景推演</x:v>
      </x:c>
      <x:c r="H24" s="177" t="str">
        <x:v>预测值，非公司指引</x:v>
      </x:c>
      <x:c r="I24" s="184"/>
    </x:row>
    <x:row r="25" ht="32" customHeight="1">
      <x:c r="A25" s="188" t="str">
        <x:v>免责声明：需求、价格、份额、利润率与估值倍数均可能显著偏离实际。</x:v>
      </x:c>
      <x:c r="B25" s="188"/>
      <x:c r="C25" s="188"/>
      <x:c r="D25" s="188"/>
      <x:c r="E25" s="188"/>
      <x:c r="F25" s="188"/>
      <x:c r="G25" s="188"/>
      <x:c r="H25" s="188"/>
      <x:c r="I25" s="184"/>
    </x:row>
    <x:row r="26">
      <x:c r="A26" s="184"/>
      <x:c r="B26" s="184"/>
      <x:c r="C26" s="184"/>
      <x:c r="D26" s="184"/>
      <x:c r="E26" s="184"/>
      <x:c r="F26" s="184"/>
      <x:c r="G26" s="184"/>
      <x:c r="H26" s="184"/>
      <x:c r="I26" s="184"/>
    </x:row>
    <x:row r="27">
      <x:c r="A27" s="176" t="str">
        <x:v>20260904延伸研究：Scale-up、光源路线、NVIDIA OCS论文与微纳光学毛利率参照；财报逐项来源见研发与资产。</x:v>
      </x:c>
      <x:c r="B27" s="176"/>
      <x:c r="C27" s="176"/>
      <x:c r="D27" s="176"/>
      <x:c r="E27" s="176"/>
      <x:c r="F27" s="176"/>
      <x:c r="G27" s="176"/>
      <x:c r="H27" s="176"/>
      <x:c r="I27" s="184"/>
    </x:row>
    <x:row r="28" ht="52" customHeight="1">
      <x:c r="A28" s="177" t="str">
        <x:v>R9-01</x:v>
      </x:c>
      <x:c r="B28" s="177" t="str">
        <x:v>NVIDIA技术说明</x:v>
      </x:c>
      <x:c r="C28" s="177" t="str">
        <x:v>NVLink Scale-up路线</x:v>
      </x:c>
      <x:c r="D28" s="177" t="str">
        <x:v>2026-07-20</x:v>
      </x:c>
      <x:c r="E28" s="177" t="str">
        <x:v>柜内光I/O与超节点规模</x:v>
      </x:c>
      <x:c r="F28" s="177" t="str">
        <x:v>https://developer.nvidia.com/blog/nvidia-nvlink-the-scale-up-network-for-ai-factories/</x:v>
      </x:c>
      <x:c r="G28" s="177" t="str">
        <x:v>Blackwell/Rubin双向带宽1.8/3.6TB/s</x:v>
      </x:c>
      <x:c r="H28" s="177" t="str">
        <x:v>产品锚点不是全行业平均假设</x:v>
      </x:c>
      <x:c r="I28" s="184"/>
    </x:row>
    <x:row r="29" ht="52" customHeight="1">
      <x:c r="A29" s="177" t="str">
        <x:v>R9-02</x:v>
      </x:c>
      <x:c r="B29" s="177" t="str">
        <x:v>NVIDIA技术说明</x:v>
      </x:c>
      <x:c r="C29" s="177" t="str">
        <x:v>Industry Collaboration and CPO</x:v>
      </x:c>
      <x:c r="D29" s="177" t="str">
        <x:v>2026</x:v>
      </x:c>
      <x:c r="E29" s="177" t="str">
        <x:v>3.2T等效OE参考BOM</x:v>
      </x:c>
      <x:c r="F29" s="177" t="str">
        <x:v>https://developer.nvidia.com/blog/how-industry-collaboration-fosters-nvidia-co-packaged-optics/</x:v>
      </x:c>
      <x:c r="G29" s="177" t="str">
        <x:v>32个OE、16个ELSFP、8颗CW/模块</x:v>
      </x:c>
      <x:c r="H29" s="177" t="str">
        <x:v>参考法单列，不加进主业绩</x:v>
      </x:c>
      <x:c r="I29" s="184"/>
    </x:row>
    <x:row r="30" ht="52" customHeight="1">
      <x:c r="A30" s="177" t="str">
        <x:v>R9-03</x:v>
      </x:c>
      <x:c r="B30" s="177" t="str">
        <x:v>公司发布</x:v>
      </x:c>
      <x:c r="C30" s="177" t="str">
        <x:v>Coherent二维VCSEL与PD阵列</x:v>
      </x:c>
      <x:c r="D30" s="177" t="str">
        <x:v>2025-09</x:v>
      </x:c>
      <x:c r="E30" s="177" t="str">
        <x:v>VCSEL技术路线</x:v>
      </x:c>
      <x:c r="F30" s="177" t="str">
        <x:v>https://www.coherent.com/news/press-releases/coherent-introduces-next-gen-2d-vcsel-and-photodiode-arrays</x:v>
      </x:c>
      <x:c r="G30" s="177" t="str">
        <x:v>32×50G、850nm二维阵列</x:v>
      </x:c>
      <x:c r="H30" s="177" t="str">
        <x:v>技术展示不是系统收入</x:v>
      </x:c>
      <x:c r="I30" s="184"/>
    </x:row>
    <x:row r="31" ht="52" customHeight="1">
      <x:c r="A31" s="177" t="str">
        <x:v>R9-04</x:v>
      </x:c>
      <x:c r="B31" s="177" t="str">
        <x:v>公司发布</x:v>
      </x:c>
      <x:c r="C31" s="177" t="str">
        <x:v>Avicena 1Tb/s microLED评估套件</x:v>
      </x:c>
      <x:c r="D31" s="177" t="str">
        <x:v>2026-08</x:v>
      </x:c>
      <x:c r="E31" s="177" t="str">
        <x:v>microLED空间并行</x:v>
      </x:c>
      <x:c r="F31" s="177" t="str">
        <x:v>https://avicena.tech/avicena-ships-worlds-first-1tbps-evaluation-kits-extending-its-leadership-in-microled-optical-interconnects/</x:v>
      </x:c>
      <x:c r="G31" s="177" t="str">
        <x:v>335×3Gb/s</x:v>
      </x:c>
      <x:c r="H31" s="177" t="str">
        <x:v>评估套件非量产交换机</x:v>
      </x:c>
      <x:c r="I31" s="184"/>
    </x:row>
    <x:row r="32" ht="52" customHeight="1">
      <x:c r="A32" s="177" t="str">
        <x:v>R9-05</x:v>
      </x:c>
      <x:c r="B32" s="177" t="str">
        <x:v>学术论文</x:v>
      </x:c>
      <x:c r="C32" s="177" t="str">
        <x:v>Microsoft MOSAIC</x:v>
      </x:c>
      <x:c r="D32" s="177" t="str">
        <x:v>2025</x:v>
      </x:c>
      <x:c r="E32" s="177" t="str">
        <x:v>microLED全反射微透镜和耦合</x:v>
      </x:c>
      <x:c r="F32" s="177" t="str">
        <x:v>https://www.microsoft.com/en-us/research/wp-content/uploads/2025/08/benyahya25mosaic.pdf</x:v>
      </x:c>
      <x:c r="G32" s="177" t="str">
        <x:v>§3.3—3.4、图7</x:v>
      </x:c>
      <x:c r="H32" s="177" t="str">
        <x:v>与公司能力交集为研究判断</x:v>
      </x:c>
      <x:c r="I32" s="184"/>
    </x:row>
    <x:row r="33" ht="52" customHeight="1">
      <x:c r="A33" s="177" t="str">
        <x:v>R9-06</x:v>
      </x:c>
      <x:c r="B33" s="177" t="str">
        <x:v>NVIDIA作者论文</x:v>
      </x:c>
      <x:c r="C33" s="177" t="str">
        <x:v>Optical switching for data centers and advanced computing systems</x:v>
      </x:c>
      <x:c r="D33" s="177" t="str">
        <x:v>2024-12/2025</x:v>
      </x:c>
      <x:c r="E33" s="177" t="str">
        <x:v>OCS故障恢复架构</x:v>
      </x:c>
      <x:c r="F33" s="177" t="str">
        <x:v>https://doi.org/10.1364/JOCN.534317</x:v>
      </x:c>
      <x:c r="G33" s="177" t="str">
        <x:v>图3；DGX实验应用级4秒恢复</x:v>
      </x:c>
      <x:c r="H33" s="177" t="str">
        <x:v>不等于OCS硬件切换延迟</x:v>
      </x:c>
      <x:c r="I33" s="184"/>
    </x:row>
    <x:row r="34" ht="52" customHeight="1">
      <x:c r="A34" s="177" t="str">
        <x:v>R9-07</x:v>
      </x:c>
      <x:c r="B34" s="177" t="str">
        <x:v>NVIDIA作者论文</x:v>
      </x:c>
      <x:c r="C34" s="177" t="str">
        <x:v>Programmable Fabrics with Optical Switches</x:v>
      </x:c>
      <x:c r="D34" s="177" t="str">
        <x:v>2025</x:v>
      </x:c>
      <x:c r="E34" s="177" t="str">
        <x:v>OCS控制与网络重构</x:v>
      </x:c>
      <x:c r="F34" s="177" t="str">
        <x:v>https://doi.org/10.23919/OECC/PSC62146.2025.11109345</x:v>
      </x:c>
      <x:c r="G34" s="177" t="str">
        <x:v>OECC/PSC 2025</x:v>
      </x:c>
      <x:c r="H34" s="177" t="str">
        <x:v>研究型架构</x:v>
      </x:c>
      <x:c r="I34" s="184"/>
    </x:row>
    <x:row r="35" ht="52" customHeight="1">
      <x:c r="A35" s="177" t="str">
        <x:v>R9-08</x:v>
      </x:c>
      <x:c r="B35" s="177" t="str">
        <x:v>学术论文</x:v>
      </x:c>
      <x:c r="C35" s="177" t="str">
        <x:v>ACTINA</x:v>
      </x:c>
      <x:c r="D35" s="177" t="str">
        <x:v>2025</x:v>
      </x:c>
      <x:c r="E35" s="177" t="str">
        <x:v>AI通信模式与光交换网络</x:v>
      </x:c>
      <x:c r="F35" s="177" t="str">
        <x:v>https://doi.org/10.1145/3712285.3759842</x:v>
      </x:c>
      <x:c r="G35" s="177" t="str">
        <x:v>Columbia与NVIDIA研究人员</x:v>
      </x:c>
      <x:c r="H35" s="177" t="str">
        <x:v>非已发布量产产品</x:v>
      </x:c>
      <x:c r="I35" s="184"/>
    </x:row>
    <x:row r="36" ht="52" customHeight="1">
      <x:c r="A36" s="177" t="str">
        <x:v>R9-09</x:v>
      </x:c>
      <x:c r="B36" s="177" t="str">
        <x:v>技术规范</x:v>
      </x:c>
      <x:c r="C36" s="177" t="str">
        <x:v>200G OCI Optical PHY v1.0</x:v>
      </x:c>
      <x:c r="D36" s="177" t="str">
        <x:v>2026-03-11</x:v>
      </x:c>
      <x:c r="E36" s="177" t="str">
        <x:v>宽并行与波长复用</x:v>
      </x:c>
      <x:c r="F36" s="177" t="str">
        <x:v>https://oci-msa.org/assets/files/200G-OCI-Optical-Phy-Specification-v1.0.pdf</x:v>
      </x:c>
      <x:c r="G36" s="177" t="str">
        <x:v>4×53.125G NRZ线速承载200G业务</x:v>
      </x:c>
      <x:c r="H36" s="177" t="str">
        <x:v>物理通道与波长通道分开</x:v>
      </x:c>
      <x:c r="I36" s="184"/>
    </x:row>
    <x:row r="37">
      <x:c r="A37" s="184"/>
      <x:c r="B37" s="184"/>
      <x:c r="C37" s="184"/>
      <x:c r="D37" s="184"/>
      <x:c r="E37" s="184"/>
      <x:c r="F37" s="184"/>
      <x:c r="G37" s="184"/>
      <x:c r="H37" s="184"/>
      <x:c r="I37" s="184"/>
    </x:row>
    <x:row r="38">
      <x:c r="A38" s="184"/>
      <x:c r="B38" s="184"/>
      <x:c r="C38" s="184"/>
      <x:c r="D38" s="184"/>
      <x:c r="E38" s="184"/>
      <x:c r="F38" s="184"/>
      <x:c r="G38" s="184"/>
      <x:c r="H38" s="184"/>
      <x:c r="I38" s="189" t="str">
        <x:v> </x:v>
      </x:c>
    </x:row>
  </x:sheetData>
  <x:mergeCells>
    <x:mergeCell ref="A1:H1"/>
    <x:mergeCell ref="A2:H2"/>
    <x:mergeCell ref="A25:H25"/>
    <x:mergeCell ref="A27:H27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0" hidden="0" customWidth="1"/>
    <x:col min="3" max="3" width="24" hidden="0" customWidth="1"/>
    <x:col min="4" max="4" width="2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2" customHeight="1">
      <x:c r="A1" s="172" t="str">
        <x:v>七条产品线：单价、组件数量与行业空间</x:v>
      </x:c>
      <x:c r="B1" s="172"/>
      <x:c r="C1" s="172"/>
      <x:c r="D1" s="172"/>
      <x:c r="E1" s="172"/>
      <x:c r="F1" s="172"/>
      <x:c r="G1" s="172"/>
      <x:c r="H1" s="172"/>
      <x:c r="I1" s="184"/>
    </x:row>
    <x:row r="2" ht="28" customHeight="1">
      <x:c r="A2" s="174" t="str">
        <x:v>有效单价×同单位组件数量÷1亿＝行业组件空间；公司份额只在理论收入列作用。</x:v>
      </x:c>
      <x:c r="B2" s="174"/>
      <x:c r="C2" s="174"/>
      <x:c r="D2" s="174"/>
      <x:c r="E2" s="174"/>
      <x:c r="F2" s="174"/>
      <x:c r="G2" s="174"/>
      <x:c r="H2" s="174"/>
      <x:c r="I2" s="184"/>
    </x:row>
    <x:row r="3">
      <x:c r="A3" s="184"/>
      <x:c r="B3" s="184"/>
      <x:c r="C3" s="184"/>
      <x:c r="D3" s="184"/>
      <x:c r="E3" s="184"/>
      <x:c r="F3" s="184"/>
      <x:c r="G3" s="184"/>
      <x:c r="H3" s="184"/>
      <x:c r="I3" s="184"/>
    </x:row>
    <x:row r="4">
      <x:c r="A4" s="176" t="str">
        <x:v>审慎情形</x:v>
      </x:c>
      <x:c r="B4" s="176"/>
      <x:c r="C4" s="176"/>
      <x:c r="D4" s="176"/>
      <x:c r="E4" s="176"/>
      <x:c r="F4" s="176"/>
      <x:c r="G4" s="176"/>
      <x:c r="H4" s="176"/>
      <x:c r="I4" s="184"/>
    </x:row>
    <x:row r="5">
      <x:c r="A5" s="176" t="str">
        <x:v>年度</x:v>
      </x:c>
      <x:c r="B5" s="176" t="str">
        <x:v>产品线</x:v>
      </x:c>
      <x:c r="C5" s="176" t="str">
        <x:v>有效单价（元/单位）</x:v>
      </x:c>
      <x:c r="D5" s="176" t="str">
        <x:v>组件数量（基本单位）</x:v>
      </x:c>
      <x:c r="E5" s="176" t="str">
        <x:v>组件单位</x:v>
      </x:c>
      <x:c r="F5" s="176" t="str">
        <x:v>空间（亿元）</x:v>
      </x:c>
      <x:c r="G5" s="176" t="str">
        <x:v>公司份额</x:v>
      </x:c>
      <x:c r="H5" s="176" t="str">
        <x:v>理论收入（亿元）</x:v>
      </x:c>
      <x:c r="I5" s="184"/>
    </x:row>
    <x:row r="6">
      <x:c r="A6" s="177" t="str">
        <x:v>2026E</x:v>
      </x:c>
      <x:c r="B6" s="177" t="str">
        <x:v>800G可插拔透镜</x:v>
      </x:c>
      <x:c r="C6" s="231" t="n">
        <x:f>IF(SUM('规格明细'!G6)=0,0,SUM('规格明细'!K6)*100000000/SUM('规格明细'!G6))</x:f>
        <x:v>3.4</x:v>
      </x:c>
      <x:c r="D6" s="216" t="n">
        <x:f>SUM('规格明细'!G6)</x:f>
        <x:v>560000000</x:v>
      </x:c>
      <x:c r="E6" s="177" t="str">
        <x:v>只透镜</x:v>
      </x:c>
      <x:c r="F6" s="178" t="n">
        <x:f>SUM('规格明细'!K6)</x:f>
        <x:v>19.04</x:v>
      </x:c>
      <x:c r="G6" s="190" t="n">
        <x:f>IF(SUM('规格明细'!K6)=0,0,SUM('规格明细'!L6)/SUM('规格明细'!K6))</x:f>
        <x:v>0.035</x:v>
      </x:c>
      <x:c r="H6" s="178" t="n">
        <x:f>SUM('规格明细'!L6)</x:f>
        <x:v>0.6664</x:v>
      </x:c>
      <x:c r="I6" s="184"/>
    </x:row>
    <x:row r="7">
      <x:c r="A7" s="177" t="str">
        <x:v>2026E</x:v>
      </x:c>
      <x:c r="B7" s="177" t="str">
        <x:v>1.6T可插拔透镜</x:v>
      </x:c>
      <x:c r="C7" s="231" t="n">
        <x:f>IF(SUM('规格明细'!G7)=0,0,SUM('规格明细'!K7)*100000000/SUM('规格明细'!G7))</x:f>
        <x:v>4.76</x:v>
      </x:c>
      <x:c r="D7" s="216" t="n">
        <x:f>SUM('规格明细'!G7)</x:f>
        <x:v>188000000</x:v>
      </x:c>
      <x:c r="E7" s="177" t="str">
        <x:v>只透镜</x:v>
      </x:c>
      <x:c r="F7" s="178" t="n">
        <x:f>SUM('规格明细'!K7)</x:f>
        <x:v>8.9488</x:v>
      </x:c>
      <x:c r="G7" s="190" t="n">
        <x:f>IF(SUM('规格明细'!K7)=0,0,SUM('规格明细'!L7)/SUM('规格明细'!K7))</x:f>
        <x:v>0.035</x:v>
      </x:c>
      <x:c r="H7" s="178" t="n">
        <x:f>SUM('规格明细'!L7)</x:f>
        <x:v>0.31320800000000004</x:v>
      </x:c>
      <x:c r="I7" s="184"/>
    </x:row>
    <x:row r="8">
      <x:c r="A8" s="177" t="str">
        <x:v>2026E</x:v>
      </x:c>
      <x:c r="B8" s="177" t="str">
        <x:v>OCS NxN透镜阵列</x:v>
      </x:c>
      <x:c r="C8" s="231" t="n">
        <x:f>IF(SUM('规格明细'!G8,'规格明细'!G9)=0,0,SUM('规格明细'!K8,'规格明细'!K9)*100000000/SUM('规格明细'!G8,'规格明细'!G9))</x:f>
        <x:v>21.818181818181817</x:v>
      </x:c>
      <x:c r="D8" s="216" t="n">
        <x:f>SUM('规格明细'!G8,'规格明细'!G9)</x:f>
        <x:v>7040000</x:v>
      </x:c>
      <x:c r="E8" s="177" t="str">
        <x:v>总光通道</x:v>
      </x:c>
      <x:c r="F8" s="178" t="n">
        <x:f>SUM('规格明细'!K8,'规格明细'!K9)</x:f>
        <x:v>1.536</x:v>
      </x:c>
      <x:c r="G8" s="190" t="n">
        <x:f>IF(SUM('规格明细'!K8,'规格明细'!K9)=0,0,SUM('规格明细'!L8,'规格明细'!L9)/SUM('规格明细'!K8,'规格明细'!K9))</x:f>
        <x:v>0.81484375</x:v>
      </x:c>
      <x:c r="H8" s="178" t="n">
        <x:f>SUM('规格明细'!L8,'规格明细'!L9)</x:f>
        <x:v>1.2516</x:v>
      </x:c>
      <x:c r="I8" s="184"/>
    </x:row>
    <x:row r="9">
      <x:c r="A9" s="177" t="str">
        <x:v>2026E</x:v>
      </x:c>
      <x:c r="B9" s="177" t="str">
        <x:v>FAU V型槽</x:v>
      </x:c>
      <x:c r="C9" s="231" t="n">
        <x:f>IF(SUM('规格明细'!G10,'规格明细'!G11)=0,0,SUM('规格明细'!K10,'规格明细'!K11)*100000000/SUM('规格明细'!G10,'规格明细'!G11))</x:f>
        <x:v>7.616</x:v>
      </x:c>
      <x:c r="D9" s="216" t="n">
        <x:f>SUM('规格明细'!G10,'规格明细'!G11)</x:f>
        <x:v>23040000</x:v>
      </x:c>
      <x:c r="E9" s="177" t="str">
        <x:v>通道</x:v>
      </x:c>
      <x:c r="F9" s="178" t="n">
        <x:f>SUM('规格明细'!K10,'规格明细'!K11)</x:f>
        <x:v>1.7547264</x:v>
      </x:c>
      <x:c r="G9" s="190" t="n">
        <x:f>IF(SUM('规格明细'!K10,'规格明细'!K11)=0,0,SUM('规格明细'!L10,'规格明细'!L11)/SUM('规格明细'!K10,'规格明细'!K11))</x:f>
        <x:v>0.39375</x:v>
      </x:c>
      <x:c r="H9" s="178" t="n">
        <x:f>SUM('规格明细'!L10,'规格明细'!L11)</x:f>
        <x:v>0.69092352</x:v>
      </x:c>
      <x:c r="I9" s="184"/>
    </x:row>
    <x:row r="10">
      <x:c r="A10" s="177" t="str">
        <x:v>2026E</x:v>
      </x:c>
      <x:c r="B10" s="177" t="str">
        <x:v>FAU棱镜阵列</x:v>
      </x:c>
      <x:c r="C10" s="231" t="n">
        <x:f>IF(SUM('规格明细'!G12,'规格明细'!G13)=0,0,SUM('规格明细'!K12,'规格明细'!K13)*100000000/SUM('规格明细'!G12,'规格明细'!G13))</x:f>
        <x:v>10.88</x:v>
      </x:c>
      <x:c r="D10" s="216" t="n">
        <x:f>SUM('规格明细'!G12,'规格明细'!G13)</x:f>
        <x:v>23040000</x:v>
      </x:c>
      <x:c r="E10" s="177" t="str">
        <x:v>通道</x:v>
      </x:c>
      <x:c r="F10" s="178" t="n">
        <x:f>SUM('规格明细'!K12,'规格明细'!K13)</x:f>
        <x:v>2.506752</x:v>
      </x:c>
      <x:c r="G10" s="190" t="n">
        <x:f>'机会输入'!E24</x:f>
        <x:v>0.45</x:v>
      </x:c>
      <x:c r="H10" s="178" t="n">
        <x:f>SUM('规格明细'!L12,'规格明细'!L13)</x:f>
        <x:v>1.1280384</x:v>
      </x:c>
      <x:c r="I10" s="184"/>
    </x:row>
    <x:row r="11">
      <x:c r="A11" s="177" t="str">
        <x:v>2026E</x:v>
      </x:c>
      <x:c r="B11" s="177" t="str">
        <x:v>ELS透镜＋热沉</x:v>
      </x:c>
      <x:c r="C11" s="231" t="n">
        <x:f>IF(SUM('规格明细'!G14,'规格明细'!G15)=0,0,SUM('规格明细'!K14,'规格明细'!K15)*100000000/SUM('规格明细'!G14,'规格明细'!G15))</x:f>
        <x:v>54.4</x:v>
      </x:c>
      <x:c r="D11" s="216" t="n">
        <x:f>SUM('规格明细'!G14,'规格明细'!G15)</x:f>
        <x:v>2560000</x:v>
      </x:c>
      <x:c r="E11" s="177" t="str">
        <x:v>套光源配套</x:v>
      </x:c>
      <x:c r="F11" s="178" t="n">
        <x:f>SUM('规格明细'!K14,'规格明细'!K15)</x:f>
        <x:v>1.39264</x:v>
      </x:c>
      <x:c r="G11" s="190" t="n">
        <x:f>IF(SUM('规格明细'!K14,'规格明细'!K15)=0,0,SUM('规格明细'!L14,'规格明细'!L15)/SUM('规格明细'!K14,'规格明细'!K15))</x:f>
        <x:v>0.39375</x:v>
      </x:c>
      <x:c r="H11" s="178" t="n">
        <x:f>SUM('规格明细'!L14,'规格明细'!L15)</x:f>
        <x:v>0.5483520000000001</x:v>
      </x:c>
      <x:c r="I11" s="184"/>
    </x:row>
    <x:row r="12">
      <x:c r="A12" s="177" t="str">
        <x:v>2026E</x:v>
      </x:c>
      <x:c r="B12" s="177" t="str">
        <x:v>FAU量测设备</x:v>
      </x:c>
      <x:c r="C12" s="231" t="n">
        <x:f>IF(SUM('规格明细'!G16,'规格明细'!G17)=0,0,SUM('规格明细'!K16,'规格明细'!K17)*100000000/SUM('规格明细'!G16,'规格明细'!G17))</x:f>
        <x:v>54400</x:v>
      </x:c>
      <x:c r="D12" s="216" t="n">
        <x:f>SUM('规格明细'!G16,'规格明细'!G17)</x:f>
        <x:v>640</x:v>
      </x:c>
      <x:c r="E12" s="177" t="str">
        <x:v>台设备</x:v>
      </x:c>
      <x:c r="F12" s="178" t="n">
        <x:f>SUM('规格明细'!K16,'规格明细'!K17)</x:f>
        <x:v>0.34816</x:v>
      </x:c>
      <x:c r="G12" s="190" t="n">
        <x:f>IF(SUM('规格明细'!K16,'规格明细'!K17)=0,0,SUM('规格明细'!L16,'规格明细'!L17)/SUM('规格明细'!K16,'规格明细'!K17))</x:f>
        <x:v>0.08750000000000001</x:v>
      </x:c>
      <x:c r="H12" s="178" t="n">
        <x:f>SUM('规格明细'!L16,'规格明细'!L17)</x:f>
        <x:v>0.030464000000000005</x:v>
      </x:c>
      <x:c r="I12" s="184"/>
    </x:row>
    <x:row r="13">
      <x:c r="A13" s="177" t="str">
        <x:v>2027E</x:v>
      </x:c>
      <x:c r="B13" s="177" t="str">
        <x:v>800G可插拔透镜</x:v>
      </x:c>
      <x:c r="C13" s="231" t="n">
        <x:f>IF(SUM('规格明细'!G18)=0,0,SUM('规格明细'!K18)*100000000/SUM('规格明细'!G18))</x:f>
        <x:v>3.06</x:v>
      </x:c>
      <x:c r="D13" s="216" t="n">
        <x:f>SUM('规格明细'!G18)</x:f>
        <x:v>725000000</x:v>
      </x:c>
      <x:c r="E13" s="177" t="str">
        <x:v>只透镜</x:v>
      </x:c>
      <x:c r="F13" s="178" t="n">
        <x:f>SUM('规格明细'!K18)</x:f>
        <x:v>22.185</x:v>
      </x:c>
      <x:c r="G13" s="190" t="n">
        <x:f>IF(SUM('规格明细'!K18)=0,0,SUM('规格明细'!L18)/SUM('规格明细'!K18))</x:f>
        <x:v>0.07999999999999999</x:v>
      </x:c>
      <x:c r="H13" s="178" t="n">
        <x:f>SUM('规格明细'!L18)</x:f>
        <x:v>1.7747999999999997</x:v>
      </x:c>
      <x:c r="I13" s="184"/>
    </x:row>
    <x:row r="14">
      <x:c r="A14" s="177" t="str">
        <x:v>2027E</x:v>
      </x:c>
      <x:c r="B14" s="177" t="str">
        <x:v>1.6T可插拔透镜</x:v>
      </x:c>
      <x:c r="C14" s="231" t="n">
        <x:f>IF(SUM('规格明细'!G19)=0,0,SUM('规格明细'!K19)*100000000/SUM('规格明细'!G19))</x:f>
        <x:v>4.284</x:v>
      </x:c>
      <x:c r="D14" s="216" t="n">
        <x:f>SUM('规格明细'!G19)</x:f>
        <x:v>640000000</x:v>
      </x:c>
      <x:c r="E14" s="177" t="str">
        <x:v>只透镜</x:v>
      </x:c>
      <x:c r="F14" s="178" t="n">
        <x:f>SUM('规格明细'!K19)</x:f>
        <x:v>27.4176</x:v>
      </x:c>
      <x:c r="G14" s="190" t="n">
        <x:f>IF(SUM('规格明细'!K19)=0,0,SUM('规格明细'!L19)/SUM('规格明细'!K19))</x:f>
        <x:v>0.07999999999999999</x:v>
      </x:c>
      <x:c r="H14" s="178" t="n">
        <x:f>SUM('规格明细'!L19)</x:f>
        <x:v>2.193408</x:v>
      </x:c>
      <x:c r="I14" s="184"/>
    </x:row>
    <x:row r="15">
      <x:c r="A15" s="177" t="str">
        <x:v>2027E</x:v>
      </x:c>
      <x:c r="B15" s="177" t="str">
        <x:v>OCS NxN透镜阵列</x:v>
      </x:c>
      <x:c r="C15" s="231" t="n">
        <x:f>IF(SUM('规格明细'!G20,'规格明细'!G21)=0,0,SUM('规格明细'!K20,'规格明细'!K21)*100000000/SUM('规格明细'!G20,'规格明细'!G21))</x:f>
        <x:v>19.5</x:v>
      </x:c>
      <x:c r="D15" s="216" t="n">
        <x:f>SUM('规格明细'!G20,'规格明细'!G21)</x:f>
        <x:v>40960000</x:v>
      </x:c>
      <x:c r="E15" s="177" t="str">
        <x:v>总光通道</x:v>
      </x:c>
      <x:c r="F15" s="178" t="n">
        <x:f>SUM('规格明细'!K20,'规格明细'!K21)</x:f>
        <x:v>7.9872</x:v>
      </x:c>
      <x:c r="G15" s="190" t="n">
        <x:f>IF(SUM('规格明细'!K20,'规格明细'!K21)=0,0,SUM('规格明细'!L20,'规格明细'!L21)/SUM('规格明细'!K20,'规格明细'!K21))</x:f>
        <x:v>0.8341880341880341</x:v>
      </x:c>
      <x:c r="H15" s="178" t="n">
        <x:f>SUM('规格明细'!L20,'规格明细'!L21)</x:f>
        <x:v>6.662826666666666</x:v>
      </x:c>
      <x:c r="I15" s="184"/>
    </x:row>
    <x:row r="16">
      <x:c r="A16" s="177" t="str">
        <x:v>2027E</x:v>
      </x:c>
      <x:c r="B16" s="177" t="str">
        <x:v>FAU V型槽</x:v>
      </x:c>
      <x:c r="C16" s="231" t="n">
        <x:f>IF(SUM('规格明细'!G22,'规格明细'!G23)=0,0,SUM('规格明细'!K22,'规格明细'!K23)*100000000/SUM('规格明细'!G22,'规格明细'!G23))</x:f>
        <x:v>6.0928</x:v>
      </x:c>
      <x:c r="D16" s="216" t="n">
        <x:f>SUM('规格明细'!G22,'规格明细'!G23)</x:f>
        <x:v>230400000</x:v>
      </x:c>
      <x:c r="E16" s="177" t="str">
        <x:v>通道</x:v>
      </x:c>
      <x:c r="F16" s="178" t="n">
        <x:f>SUM('规格明细'!K22,'规格明细'!K23)</x:f>
        <x:v>14.0378112</x:v>
      </x:c>
      <x:c r="G16" s="190" t="n">
        <x:f>IF(SUM('规格明细'!K22,'规格明细'!K23)=0,0,SUM('规格明细'!L22,'规格明细'!L23)/SUM('规格明细'!K22,'规格明细'!K23))</x:f>
        <x:v>0.4444444444444444</x:v>
      </x:c>
      <x:c r="H16" s="178" t="n">
        <x:f>SUM('规格明细'!L22,'规格明细'!L23)</x:f>
        <x:v>6.2390272</x:v>
      </x:c>
      <x:c r="I16" s="184"/>
    </x:row>
    <x:row r="17">
      <x:c r="A17" s="177" t="str">
        <x:v>2027E</x:v>
      </x:c>
      <x:c r="B17" s="177" t="str">
        <x:v>FAU棱镜阵列</x:v>
      </x:c>
      <x:c r="C17" s="231" t="n">
        <x:f>IF(SUM('规格明细'!G24,'规格明细'!G25)=0,0,SUM('规格明细'!K24,'规格明细'!K25)*100000000/SUM('规格明细'!G24,'规格明细'!G25))</x:f>
        <x:v>8.704</x:v>
      </x:c>
      <x:c r="D17" s="216" t="n">
        <x:f>SUM('规格明细'!G24,'规格明细'!G25)</x:f>
        <x:v>230400000</x:v>
      </x:c>
      <x:c r="E17" s="177" t="str">
        <x:v>通道</x:v>
      </x:c>
      <x:c r="F17" s="178" t="n">
        <x:f>SUM('规格明细'!K24,'规格明细'!K25)</x:f>
        <x:v>20.054016</x:v>
      </x:c>
      <x:c r="G17" s="190" t="n">
        <x:f>'机会输入'!F24</x:f>
        <x:v>0.45</x:v>
      </x:c>
      <x:c r="H17" s="178" t="n">
        <x:f>SUM('规格明细'!L24,'规格明细'!L25)</x:f>
        <x:v>9.0243072</x:v>
      </x:c>
      <x:c r="I17" s="184"/>
    </x:row>
    <x:row r="18">
      <x:c r="A18" s="177" t="str">
        <x:v>2027E</x:v>
      </x:c>
      <x:c r="B18" s="177" t="str">
        <x:v>ELS透镜＋热沉</x:v>
      </x:c>
      <x:c r="C18" s="231" t="n">
        <x:f>IF(SUM('规格明细'!G26,'规格明细'!G27)=0,0,SUM('规格明细'!K26,'规格明细'!K27)*100000000/SUM('规格明细'!G26,'规格明细'!G27))</x:f>
        <x:v>43.52000000000001</x:v>
      </x:c>
      <x:c r="D18" s="216" t="n">
        <x:f>SUM('规格明细'!G26,'规格明细'!G27)</x:f>
        <x:v>25600000</x:v>
      </x:c>
      <x:c r="E18" s="177" t="str">
        <x:v>套光源配套</x:v>
      </x:c>
      <x:c r="F18" s="178" t="n">
        <x:f>SUM('规格明细'!K26,'规格明细'!K27)</x:f>
        <x:v>11.141120000000003</x:v>
      </x:c>
      <x:c r="G18" s="190" t="n">
        <x:f>IF(SUM('规格明细'!K26,'规格明细'!K27)=0,0,SUM('规格明细'!L26,'规格明细'!L27)/SUM('规格明细'!K26,'规格明细'!K27))</x:f>
        <x:v>0.39999999999999997</x:v>
      </x:c>
      <x:c r="H18" s="178" t="n">
        <x:f>SUM('规格明细'!L26,'规格明细'!L27)</x:f>
        <x:v>4.456448000000001</x:v>
      </x:c>
      <x:c r="I18" s="184"/>
    </x:row>
    <x:row r="19">
      <x:c r="A19" s="177" t="str">
        <x:v>2027E</x:v>
      </x:c>
      <x:c r="B19" s="177" t="str">
        <x:v>FAU量测设备</x:v>
      </x:c>
      <x:c r="C19" s="231" t="n">
        <x:f>IF(SUM('规格明细'!G28,'规格明细'!G29)=0,0,SUM('规格明细'!K28,'规格明细'!K29)*100000000/SUM('规格明细'!G28,'规格明细'!G29))</x:f>
        <x:v>54400</x:v>
      </x:c>
      <x:c r="D19" s="216" t="n">
        <x:f>SUM('规格明细'!G28,'规格明细'!G29)</x:f>
        <x:v>6400</x:v>
      </x:c>
      <x:c r="E19" s="177" t="str">
        <x:v>台设备</x:v>
      </x:c>
      <x:c r="F19" s="178" t="n">
        <x:f>SUM('规格明细'!K28,'规格明细'!K29)</x:f>
        <x:v>3.4816</x:v>
      </x:c>
      <x:c r="G19" s="190" t="n">
        <x:f>IF(SUM('规格明细'!K28,'规格明细'!K29)=0,0,SUM('规格明细'!L28,'规格明细'!L29)/SUM('规格明细'!K28,'规格明细'!K29))</x:f>
        <x:v>0.26666666666666666</x:v>
      </x:c>
      <x:c r="H19" s="178" t="n">
        <x:f>SUM('规格明细'!L28,'规格明细'!L29)</x:f>
        <x:v>0.9284266666666666</x:v>
      </x:c>
      <x:c r="I19" s="184"/>
    </x:row>
    <x:row r="20">
      <x:c r="A20" s="177" t="str">
        <x:v>2028E</x:v>
      </x:c>
      <x:c r="B20" s="177" t="str">
        <x:v>800G可插拔透镜</x:v>
      </x:c>
      <x:c r="C20" s="231" t="n">
        <x:f>IF(SUM('规格明细'!G30)=0,0,SUM('规格明细'!K30)*100000000/SUM('规格明细'!G30))</x:f>
        <x:v>2.754</x:v>
      </x:c>
      <x:c r="D20" s="216" t="n">
        <x:f>SUM('规格明细'!G30)</x:f>
        <x:v>500000000</x:v>
      </x:c>
      <x:c r="E20" s="177" t="str">
        <x:v>只透镜</x:v>
      </x:c>
      <x:c r="F20" s="178" t="n">
        <x:f>SUM('规格明细'!K30)</x:f>
        <x:v>13.77</x:v>
      </x:c>
      <x:c r="G20" s="190" t="n">
        <x:f>IF(SUM('规格明细'!K30)=0,0,SUM('规格明细'!L30)/SUM('规格明细'!K30))</x:f>
        <x:v>0.085</x:v>
      </x:c>
      <x:c r="H20" s="178" t="n">
        <x:f>SUM('规格明细'!L30)</x:f>
        <x:v>1.17045</x:v>
      </x:c>
      <x:c r="I20" s="184"/>
    </x:row>
    <x:row r="21">
      <x:c r="A21" s="177" t="str">
        <x:v>2028E</x:v>
      </x:c>
      <x:c r="B21" s="177" t="str">
        <x:v>1.6T可插拔透镜</x:v>
      </x:c>
      <x:c r="C21" s="231" t="n">
        <x:f>IF(SUM('规格明细'!G31)=0,0,SUM('规格明细'!K31)*100000000/SUM('规格明细'!G31))</x:f>
        <x:v>3.8556</x:v>
      </x:c>
      <x:c r="D21" s="216" t="n">
        <x:f>SUM('规格明细'!G31)</x:f>
        <x:v>1050000000</x:v>
      </x:c>
      <x:c r="E21" s="177" t="str">
        <x:v>只透镜</x:v>
      </x:c>
      <x:c r="F21" s="178" t="n">
        <x:f>SUM('规格明细'!K31)</x:f>
        <x:v>40.4838</x:v>
      </x:c>
      <x:c r="G21" s="190" t="n">
        <x:f>IF(SUM('规格明细'!K31)=0,0,SUM('规格明细'!L31)/SUM('规格明细'!K31))</x:f>
        <x:v>0.085</x:v>
      </x:c>
      <x:c r="H21" s="178" t="n">
        <x:f>SUM('规格明细'!L31)</x:f>
        <x:v>3.4411230000000006</x:v>
      </x:c>
      <x:c r="I21" s="184"/>
    </x:row>
    <x:row r="22">
      <x:c r="A22" s="177" t="str">
        <x:v>2028E</x:v>
      </x:c>
      <x:c r="B22" s="177" t="str">
        <x:v>OCS NxN透镜阵列</x:v>
      </x:c>
      <x:c r="C22" s="231" t="n">
        <x:f>IF(SUM('规格明细'!G32,'规格明细'!G33)=0,0,SUM('规格明细'!K32,'规格明细'!K33)*100000000/SUM('规格明细'!G32,'规格明细'!G33))</x:f>
        <x:v>18.93698630136986</x:v>
      </x:c>
      <x:c r="D22" s="216" t="n">
        <x:f>SUM('规格明细'!G32,'规格明细'!G33)</x:f>
        <x:v>93440000</x:v>
      </x:c>
      <x:c r="E22" s="177" t="str">
        <x:v>总光通道</x:v>
      </x:c>
      <x:c r="F22" s="178" t="n">
        <x:f>SUM('规格明细'!K32,'规格明细'!K33)</x:f>
        <x:v>17.694719999999997</x:v>
      </x:c>
      <x:c r="G22" s="190" t="n">
        <x:f>IF(SUM('规格明细'!K32,'规格明细'!K33)=0,0,SUM('规格明细'!L32,'规格明细'!L33)/SUM('规格明细'!K32,'规格明细'!K33))</x:f>
        <x:v>0.7165234375</x:v>
      </x:c>
      <x:c r="H22" s="178" t="n">
        <x:f>SUM('规格明细'!L32,'规格明细'!L33)</x:f>
        <x:v>12.678681599999997</x:v>
      </x:c>
      <x:c r="I22" s="184"/>
    </x:row>
    <x:row r="23">
      <x:c r="A23" s="177" t="str">
        <x:v>2028E</x:v>
      </x:c>
      <x:c r="B23" s="177" t="str">
        <x:v>FAU V型槽</x:v>
      </x:c>
      <x:c r="C23" s="231" t="n">
        <x:f>IF(SUM('规格明细'!G34,'规格明细'!G35)=0,0,SUM('规格明细'!K34,'规格明细'!K35)*100000000/SUM('规格明细'!G34,'规格明细'!G35))</x:f>
        <x:v>6.266879999999999</x:v>
      </x:c>
      <x:c r="D23" s="216" t="n">
        <x:f>SUM('规格明细'!G34,'规格明细'!G35)</x:f>
        <x:v>806400000</x:v>
      </x:c>
      <x:c r="E23" s="177" t="str">
        <x:v>通道</x:v>
      </x:c>
      <x:c r="F23" s="178" t="n">
        <x:f>SUM('规格明细'!K34,'规格明细'!K35)</x:f>
        <x:v>50.536120319999995</x:v>
      </x:c>
      <x:c r="G23" s="190" t="n">
        <x:f>IF(SUM('规格明细'!K34,'规格明细'!K35)=0,0,SUM('规格明细'!L34,'规格明细'!L35)/SUM('规格明细'!K34,'规格明细'!K35))</x:f>
        <x:v>0.4940625</x:v>
      </x:c>
      <x:c r="H23" s="178" t="n">
        <x:f>SUM('规格明细'!L34,'规格明细'!L35)</x:f>
        <x:v>24.968001945599998</x:v>
      </x:c>
      <x:c r="I23" s="184"/>
    </x:row>
    <x:row r="24">
      <x:c r="A24" s="177" t="str">
        <x:v>2028E</x:v>
      </x:c>
      <x:c r="B24" s="177" t="str">
        <x:v>FAU棱镜阵列</x:v>
      </x:c>
      <x:c r="C24" s="231" t="n">
        <x:f>IF(SUM('规格明细'!G36,'规格明细'!G37)=0,0,SUM('规格明细'!K36,'规格明细'!K37)*100000000/SUM('规格明细'!G36,'规格明细'!G37))</x:f>
        <x:v>8.952685714285714</x:v>
      </x:c>
      <x:c r="D24" s="216" t="n">
        <x:f>SUM('规格明细'!G36,'规格明细'!G37)</x:f>
        <x:v>806400000</x:v>
      </x:c>
      <x:c r="E24" s="177" t="str">
        <x:v>通道</x:v>
      </x:c>
      <x:c r="F24" s="178" t="n">
        <x:f>SUM('规格明细'!K36,'规格明细'!K37)</x:f>
        <x:v>72.19445759999999</x:v>
      </x:c>
      <x:c r="G24" s="190" t="n">
        <x:f>'机会输入'!G24</x:f>
        <x:v>0.45</x:v>
      </x:c>
      <x:c r="H24" s="178" t="n">
        <x:f>SUM('规格明细'!L36,'规格明细'!L37)</x:f>
        <x:v>32.487505920000004</x:v>
      </x:c>
      <x:c r="I24" s="184"/>
    </x:row>
    <x:row r="25">
      <x:c r="A25" s="177" t="str">
        <x:v>2028E</x:v>
      </x:c>
      <x:c r="B25" s="177" t="str">
        <x:v>ELS透镜＋热沉</x:v>
      </x:c>
      <x:c r="C25" s="231" t="n">
        <x:f>IF(SUM('规格明细'!G38,'规格明细'!G39)=0,0,SUM('规格明细'!K38,'规格明细'!K39)*100000000/SUM('规格明细'!G38,'规格明细'!G39))</x:f>
        <x:v>43.0848</x:v>
      </x:c>
      <x:c r="D25" s="216" t="n">
        <x:f>SUM('规格明细'!G38,'规格明细'!G39)</x:f>
        <x:v>64000000</x:v>
      </x:c>
      <x:c r="E25" s="177" t="str">
        <x:v>套光源配套</x:v>
      </x:c>
      <x:c r="F25" s="178" t="n">
        <x:f>SUM('规格明细'!K38,'规格明细'!K39)</x:f>
        <x:v>27.574272</x:v>
      </x:c>
      <x:c r="G25" s="190" t="n">
        <x:f>IF(SUM('规格明细'!K38,'规格明细'!K39)=0,0,SUM('规格明细'!L38,'规格明细'!L39)/SUM('规格明细'!K38,'规格明细'!K39))</x:f>
        <x:v>0.3876515151515151</x:v>
      </x:c>
      <x:c r="H25" s="178" t="n">
        <x:f>SUM('规格明细'!L38,'规格明细'!L39)</x:f>
        <x:v>10.689208319999999</x:v>
      </x:c>
      <x:c r="I25" s="184"/>
    </x:row>
    <x:row r="26">
      <x:c r="A26" s="177" t="str">
        <x:v>2028E</x:v>
      </x:c>
      <x:c r="B26" s="177" t="str">
        <x:v>FAU量测设备</x:v>
      </x:c>
      <x:c r="C26" s="231" t="n">
        <x:f>IF(SUM('规格明细'!G40,'规格明细'!G41)=0,0,SUM('规格明细'!K40,'规格明细'!K41)*100000000/SUM('规格明细'!G40,'规格明细'!G41))</x:f>
        <x:v>59840.00000000001</x:v>
      </x:c>
      <x:c r="D26" s="216" t="n">
        <x:f>SUM('规格明细'!G40,'规格明细'!G41)</x:f>
        <x:v>16000</x:v>
      </x:c>
      <x:c r="E26" s="177" t="str">
        <x:v>台设备</x:v>
      </x:c>
      <x:c r="F26" s="178" t="n">
        <x:f>SUM('规格明细'!K40,'规格明细'!K41)</x:f>
        <x:v>9.5744</x:v>
      </x:c>
      <x:c r="G26" s="190" t="n">
        <x:f>IF(SUM('规格明细'!K40,'规格明细'!K41)=0,0,SUM('规格明细'!L40,'规格明细'!L41)/SUM('规格明细'!K40,'规格明细'!K41))</x:f>
        <x:v>0.40181818181818185</x:v>
      </x:c>
      <x:c r="H26" s="178" t="n">
        <x:f>SUM('规格明细'!L40,'规格明细'!L41)</x:f>
        <x:v>3.8471680000000004</x:v>
      </x:c>
      <x:c r="I26" s="184"/>
    </x:row>
    <x:row r="27">
      <x:c r="A27" s="177" t="str">
        <x:v>2029E</x:v>
      </x:c>
      <x:c r="B27" s="177" t="str">
        <x:v>800G可插拔透镜</x:v>
      </x:c>
      <x:c r="C27" s="231" t="n">
        <x:f>IF(SUM('规格明细'!G42)=0,0,SUM('规格明细'!K42)*100000000/SUM('规格明细'!G42))</x:f>
        <x:v>2.4785999999999997</x:v>
      </x:c>
      <x:c r="D27" s="216" t="n">
        <x:f>SUM('规格明细'!G42)</x:f>
        <x:v>320000000</x:v>
      </x:c>
      <x:c r="E27" s="177" t="str">
        <x:v>只透镜</x:v>
      </x:c>
      <x:c r="F27" s="178" t="n">
        <x:f>SUM('规格明细'!K42)</x:f>
        <x:v>7.931519999999999</x:v>
      </x:c>
      <x:c r="G27" s="190" t="n">
        <x:f>IF(SUM('规格明细'!K42)=0,0,SUM('规格明细'!L42)/SUM('规格明细'!K42))</x:f>
        <x:v>0.09000000000000001</x:v>
      </x:c>
      <x:c r="H27" s="178" t="n">
        <x:f>SUM('规格明细'!L42)</x:f>
        <x:v>0.7138368</x:v>
      </x:c>
      <x:c r="I27" s="184"/>
    </x:row>
    <x:row r="28">
      <x:c r="A28" s="177" t="str">
        <x:v>2029E</x:v>
      </x:c>
      <x:c r="B28" s="177" t="str">
        <x:v>1.6T可插拔透镜</x:v>
      </x:c>
      <x:c r="C28" s="231" t="n">
        <x:f>IF(SUM('规格明细'!G43)=0,0,SUM('规格明细'!K43)*100000000/SUM('规格明细'!G43))</x:f>
        <x:v>3.470039999999999</x:v>
      </x:c>
      <x:c r="D28" s="216" t="n">
        <x:f>SUM('规格明细'!G43)</x:f>
        <x:v>1450000000</x:v>
      </x:c>
      <x:c r="E28" s="177" t="str">
        <x:v>只透镜</x:v>
      </x:c>
      <x:c r="F28" s="178" t="n">
        <x:f>SUM('规格明细'!K43)</x:f>
        <x:v>50.31557999999999</x:v>
      </x:c>
      <x:c r="G28" s="190" t="n">
        <x:f>IF(SUM('规格明细'!K43)=0,0,SUM('规格明细'!L43)/SUM('规格明细'!K43))</x:f>
        <x:v>0.09000000000000001</x:v>
      </x:c>
      <x:c r="H28" s="178" t="n">
        <x:f>SUM('规格明细'!L43)</x:f>
        <x:v>4.5284021999999995</x:v>
      </x:c>
      <x:c r="I28" s="184"/>
    </x:row>
    <x:row r="29">
      <x:c r="A29" s="177" t="str">
        <x:v>2029E</x:v>
      </x:c>
      <x:c r="B29" s="177" t="str">
        <x:v>OCS NxN透镜阵列</x:v>
      </x:c>
      <x:c r="C29" s="231" t="n">
        <x:f>IF(SUM('规格明细'!G44,'规格明细'!G45)=0,0,SUM('规格明细'!K44,'规格明细'!K45)*100000000/SUM('规格明细'!G44,'规格明细'!G45))</x:f>
        <x:v>17.71746835443038</x:v>
      </x:c>
      <x:c r="D29" s="216" t="n">
        <x:f>SUM('规格明细'!G44,'规格明细'!G45)</x:f>
        <x:v>161792000</x:v>
      </x:c>
      <x:c r="E29" s="177" t="str">
        <x:v>总光通道</x:v>
      </x:c>
      <x:c r="F29" s="178" t="n">
        <x:f>SUM('规格明细'!K44,'规格明细'!K45)</x:f>
        <x:v>28.6654464</x:v>
      </x:c>
      <x:c r="G29" s="190" t="n">
        <x:f>IF(SUM('规格明细'!K44,'规格明细'!K45)=0,0,SUM('规格明细'!L44,'规格明细'!L45)/SUM('规格明细'!K44,'规格明细'!K45))</x:f>
        <x:v>0.670625</x:v>
      </x:c>
      <x:c r="H29" s="178" t="n">
        <x:f>SUM('规格明细'!L44,'规格明细'!L45)</x:f>
        <x:v>19.223764992</x:v>
      </x:c>
      <x:c r="I29" s="184"/>
    </x:row>
    <x:row r="30">
      <x:c r="A30" s="177" t="str">
        <x:v>2029E</x:v>
      </x:c>
      <x:c r="B30" s="177" t="str">
        <x:v>FAU V型槽</x:v>
      </x:c>
      <x:c r="C30" s="231" t="n">
        <x:f>IF(SUM('规格明细'!G46,'规格明细'!G47)=0,0,SUM('规格明细'!K46,'规格明细'!K47)*100000000/SUM('规格明细'!G46,'规格明细'!G47))</x:f>
        <x:v>5.907246545454545</x:v>
      </x:c>
      <x:c r="D30" s="216" t="n">
        <x:f>SUM('规格明细'!G46,'规格明细'!G47)</x:f>
        <x:v>1615680000</x:v>
      </x:c>
      <x:c r="E30" s="177" t="str">
        <x:v>通道</x:v>
      </x:c>
      <x:c r="F30" s="178" t="n">
        <x:f>SUM('规格明细'!K46,'规格明细'!K47)</x:f>
        <x:v>95.4422009856</x:v>
      </x:c>
      <x:c r="G30" s="190" t="n">
        <x:f>IF(SUM('规格明细'!K46,'规格明细'!K47)=0,0,SUM('规格明细'!L46,'规格明细'!L47)/SUM('规格明细'!K46,'规格明细'!K47))</x:f>
        <x:v>0.5770253164556963</x:v>
      </x:c>
      <x:c r="H30" s="178" t="n">
        <x:f>SUM('规格明细'!L46,'规格明细'!L47)</x:f>
        <x:v>55.072566226944005</x:v>
      </x:c>
      <x:c r="I30" s="184"/>
    </x:row>
    <x:row r="31">
      <x:c r="A31" s="177" t="str">
        <x:v>2029E</x:v>
      </x:c>
      <x:c r="B31" s="177" t="str">
        <x:v>FAU棱镜阵列</x:v>
      </x:c>
      <x:c r="C31" s="231" t="n">
        <x:f>IF(SUM('规格明细'!G48,'规格明细'!G49)=0,0,SUM('规格明细'!K48,'规格明细'!K49)*100000000/SUM('规格明细'!G48,'规格明细'!G49))</x:f>
        <x:v>8.438923636363636</x:v>
      </x:c>
      <x:c r="D31" s="216" t="n">
        <x:f>SUM('规格明细'!G48,'规格明细'!G49)</x:f>
        <x:v>1615680000</x:v>
      </x:c>
      <x:c r="E31" s="177" t="str">
        <x:v>通道</x:v>
      </x:c>
      <x:c r="F31" s="178" t="n">
        <x:f>SUM('规格明细'!K48,'规格明细'!K49)</x:f>
        <x:v>136.346001408</x:v>
      </x:c>
      <x:c r="G31" s="190" t="n">
        <x:f>'机会输入'!H24</x:f>
        <x:v>0.45</x:v>
      </x:c>
      <x:c r="H31" s="178" t="n">
        <x:f>SUM('规格明细'!L48,'规格明细'!L49)</x:f>
        <x:v>61.3557006336</x:v>
      </x:c>
      <x:c r="I31" s="184"/>
    </x:row>
    <x:row r="32">
      <x:c r="A32" s="177" t="str">
        <x:v>2029E</x:v>
      </x:c>
      <x:c r="B32" s="177" t="str">
        <x:v>ELS透镜＋热沉</x:v>
      </x:c>
      <x:c r="C32" s="231" t="n">
        <x:f>IF(SUM('规格明细'!G50,'规格明细'!G51)=0,0,SUM('规格明细'!K50,'规格明细'!K51)*100000000/SUM('规格明细'!G50,'规格明细'!G51))</x:f>
        <x:v>40.97952</x:v>
      </x:c>
      <x:c r="D32" s="216" t="n">
        <x:f>SUM('规格明细'!G50,'规格明细'!G51)</x:f>
        <x:v>108800000</x:v>
      </x:c>
      <x:c r="E32" s="177" t="str">
        <x:v>套光源配套</x:v>
      </x:c>
      <x:c r="F32" s="178" t="n">
        <x:f>SUM('规格明细'!K50,'规格明细'!K51)</x:f>
        <x:v>44.58571776</x:v>
      </x:c>
      <x:c r="G32" s="190" t="n">
        <x:f>IF(SUM('规格明细'!K50,'规格明细'!K51)=0,0,SUM('规格明细'!L50,'规格明细'!L51)/SUM('规格明细'!K50,'规格明细'!K51))</x:f>
        <x:v>0.40645161290322585</x:v>
      </x:c>
      <x:c r="H32" s="178" t="n">
        <x:f>SUM('规格明细'!L50,'规格明细'!L51)</x:f>
        <x:v>18.121936896</x:v>
      </x:c>
      <x:c r="I32" s="184"/>
    </x:row>
    <x:row r="33">
      <x:c r="A33" s="177" t="str">
        <x:v>2029E</x:v>
      </x:c>
      <x:c r="B33" s="177" t="str">
        <x:v>FAU量测设备</x:v>
      </x:c>
      <x:c r="C33" s="231" t="n">
        <x:f>IF(SUM('规格明细'!G52,'规格明细'!G53)=0,0,SUM('规格明细'!K52,'规格明细'!K53)*100000000/SUM('规格明细'!G52,'规格明细'!G53))</x:f>
        <x:v>63239.99999999999</x:v>
      </x:c>
      <x:c r="D33" s="216" t="n">
        <x:f>SUM('规格明细'!G52,'规格明细'!G53)</x:f>
        <x:v>27200</x:v>
      </x:c>
      <x:c r="E33" s="177" t="str">
        <x:v>台设备</x:v>
      </x:c>
      <x:c r="F33" s="178" t="n">
        <x:f>SUM('规格明细'!K52,'规格明细'!K53)</x:f>
        <x:v>17.201279999999997</x:v>
      </x:c>
      <x:c r="G33" s="190" t="n">
        <x:f>IF(SUM('规格明细'!K52,'规格明细'!K53)=0,0,SUM('规格明细'!L52,'规格明细'!L53)/SUM('规格明细'!K52,'规格明细'!K53))</x:f>
        <x:v>0.4814516129032258</x:v>
      </x:c>
      <x:c r="H33" s="178" t="n">
        <x:f>SUM('规格明细'!L52,'规格明细'!L53)</x:f>
        <x:v>8.281583999999999</x:v>
      </x:c>
      <x:c r="I33" s="184"/>
    </x:row>
    <x:row r="34">
      <x:c r="A34" s="177" t="str">
        <x:v>2030E</x:v>
      </x:c>
      <x:c r="B34" s="177" t="str">
        <x:v>800G可插拔透镜</x:v>
      </x:c>
      <x:c r="C34" s="231" t="n">
        <x:f>IF(SUM('规格明细'!G54)=0,0,SUM('规格明细'!K54)*100000000/SUM('规格明细'!G54))</x:f>
        <x:v>2.23074</x:v>
      </x:c>
      <x:c r="D34" s="216" t="n">
        <x:f>SUM('规格明细'!G54)</x:f>
        <x:v>180000000</x:v>
      </x:c>
      <x:c r="E34" s="177" t="str">
        <x:v>只透镜</x:v>
      </x:c>
      <x:c r="F34" s="178" t="n">
        <x:f>SUM('规格明细'!K54)</x:f>
        <x:v>4.015332</x:v>
      </x:c>
      <x:c r="G34" s="190" t="n">
        <x:f>IF(SUM('规格明细'!K54)=0,0,SUM('规格明细'!L54)/SUM('规格明细'!K54))</x:f>
        <x:v>0.09000000000000001</x:v>
      </x:c>
      <x:c r="H34" s="178" t="n">
        <x:f>SUM('规格明细'!L54)</x:f>
        <x:v>0.36137988000000004</x:v>
      </x:c>
      <x:c r="I34" s="184"/>
    </x:row>
    <x:row r="35">
      <x:c r="A35" s="177" t="str">
        <x:v>2030E</x:v>
      </x:c>
      <x:c r="B35" s="177" t="str">
        <x:v>1.6T可插拔透镜</x:v>
      </x:c>
      <x:c r="C35" s="231" t="n">
        <x:f>IF(SUM('规格明细'!G55)=0,0,SUM('规格明细'!K55)*100000000/SUM('规格明细'!G55))</x:f>
        <x:v>3.123036</x:v>
      </x:c>
      <x:c r="D35" s="216" t="n">
        <x:f>SUM('规格明细'!G55)</x:f>
        <x:v>1600000000</x:v>
      </x:c>
      <x:c r="E35" s="177" t="str">
        <x:v>只透镜</x:v>
      </x:c>
      <x:c r="F35" s="178" t="n">
        <x:f>SUM('规格明细'!K55)</x:f>
        <x:v>49.968576</x:v>
      </x:c>
      <x:c r="G35" s="190" t="n">
        <x:f>IF(SUM('规格明细'!K55)=0,0,SUM('规格明细'!L55)/SUM('规格明细'!K55))</x:f>
        <x:v>0.09</x:v>
      </x:c>
      <x:c r="H35" s="178" t="n">
        <x:f>SUM('规格明细'!L55)</x:f>
        <x:v>4.49717184</x:v>
      </x:c>
      <x:c r="I35" s="184"/>
    </x:row>
    <x:row r="36">
      <x:c r="A36" s="177" t="str">
        <x:v>2030E</x:v>
      </x:c>
      <x:c r="B36" s="177" t="str">
        <x:v>OCS NxN透镜阵列</x:v>
      </x:c>
      <x:c r="C36" s="231" t="n">
        <x:f>IF(SUM('规格明细'!G56,'规格明细'!G57)=0,0,SUM('规格明细'!K56,'规格明细'!K57)*100000000/SUM('规格明细'!G56,'规格明细'!G57))</x:f>
        <x:v>16.466823529411766</x:v>
      </x:c>
      <x:c r="D36" s="216" t="n">
        <x:f>SUM('规格明细'!G56,'规格明细'!G57)</x:f>
        <x:v>244800000</x:v>
      </x:c>
      <x:c r="E36" s="177" t="str">
        <x:v>总光通道</x:v>
      </x:c>
      <x:c r="F36" s="178" t="n">
        <x:f>SUM('规格明细'!K56,'规格明细'!K57)</x:f>
        <x:v>40.310784000000005</x:v>
      </x:c>
      <x:c r="G36" s="190" t="n">
        <x:f>IF(SUM('规格明细'!K56,'规格明细'!K57)=0,0,SUM('规格明细'!L56,'规格明细'!L57)/SUM('规格明细'!K56,'规格明细'!K57))</x:f>
        <x:v>0.5821875000000001</x:v>
      </x:c>
      <x:c r="H36" s="178" t="n">
        <x:f>SUM('规格明细'!L56,'规格明细'!L57)</x:f>
        <x:v>23.468434560000006</x:v>
      </x:c>
      <x:c r="I36" s="184"/>
    </x:row>
    <x:row r="37">
      <x:c r="A37" s="177" t="str">
        <x:v>2030E</x:v>
      </x:c>
      <x:c r="B37" s="177" t="str">
        <x:v>FAU V型槽</x:v>
      </x:c>
      <x:c r="C37" s="231" t="n">
        <x:f>IF(SUM('规格明细'!G58,'规格明细'!G59)=0,0,SUM('规格明细'!K58,'规格明细'!K59)*100000000/SUM('规格明细'!G58,'规格明细'!G59))</x:f>
        <x:v>5.4286848</x:v>
      </x:c>
      <x:c r="D37" s="216" t="n">
        <x:f>SUM('规格明细'!G58,'规格明细'!G59)</x:f>
        <x:v>2488320000</x:v>
      </x:c>
      <x:c r="E37" s="177" t="str">
        <x:v>通道</x:v>
      </x:c>
      <x:c r="F37" s="178" t="n">
        <x:f>SUM('规格明细'!K58,'规格明细'!K59)</x:f>
        <x:v>135.08304961536</x:v>
      </x:c>
      <x:c r="G37" s="190" t="n">
        <x:f>IF(SUM('规格明细'!K58,'规格明细'!K59)=0,0,SUM('规格明细'!L58,'规格明细'!L59)/SUM('规格明细'!K58,'规格明细'!K59))</x:f>
        <x:v>0.6259090909090911</x:v>
      </x:c>
      <x:c r="H37" s="178" t="n">
        <x:f>SUM('规格明细'!L58,'规格明细'!L59)</x:f>
        <x:v>84.54970878197763</x:v>
      </x:c>
      <x:c r="I37" s="184"/>
    </x:row>
    <x:row r="38">
      <x:c r="A38" s="177" t="str">
        <x:v>2030E</x:v>
      </x:c>
      <x:c r="B38" s="177" t="str">
        <x:v>FAU棱镜阵列</x:v>
      </x:c>
      <x:c r="C38" s="231" t="n">
        <x:f>IF(SUM('规格明细'!G60,'规格明细'!G61)=0,0,SUM('规格明细'!K60,'规格明细'!K61)*100000000/SUM('规格明细'!G60,'规格明细'!G61))</x:f>
        <x:v>7.755264000000001</x:v>
      </x:c>
      <x:c r="D38" s="216" t="n">
        <x:f>SUM('规格明细'!G60,'规格明细'!G61)</x:f>
        <x:v>2488320000</x:v>
      </x:c>
      <x:c r="E38" s="177" t="str">
        <x:v>通道</x:v>
      </x:c>
      <x:c r="F38" s="178" t="n">
        <x:f>SUM('规格明细'!K60,'规格明细'!K61)</x:f>
        <x:v>192.97578516480004</x:v>
      </x:c>
      <x:c r="G38" s="190" t="n">
        <x:f>'机会输入'!I24</x:f>
        <x:v>0.45</x:v>
      </x:c>
      <x:c r="H38" s="178" t="n">
        <x:f>SUM('规格明细'!L60,'规格明细'!L61)</x:f>
        <x:v>86.83910332416</x:v>
      </x:c>
      <x:c r="I38" s="184"/>
    </x:row>
    <x:row r="39">
      <x:c r="A39" s="177" t="str">
        <x:v>2030E</x:v>
      </x:c>
      <x:c r="B39" s="177" t="str">
        <x:v>ELS透镜＋热沉</x:v>
      </x:c>
      <x:c r="C39" s="231" t="n">
        <x:f>IF(SUM('规格明细'!G62,'规格明细'!G63)=0,0,SUM('规格明细'!K62,'规格明细'!K63)*100000000/SUM('规格明细'!G62,'规格明细'!G63))</x:f>
        <x:v>38.071296000000004</x:v>
      </x:c>
      <x:c r="D39" s="216" t="n">
        <x:f>SUM('规格明细'!G62,'规格明细'!G63)</x:f>
        <x:v>153600000</x:v>
      </x:c>
      <x:c r="E39" s="177" t="str">
        <x:v>套光源配套</x:v>
      </x:c>
      <x:c r="F39" s="178" t="n">
        <x:f>SUM('规格明细'!K62,'规格明细'!K63)</x:f>
        <x:v>58.477510656</x:v>
      </x:c>
      <x:c r="G39" s="190" t="n">
        <x:f>IF(SUM('规格明细'!K62,'规格明细'!K63)=0,0,SUM('规格明细'!L62,'规格明细'!L63)/SUM('规格明细'!K62,'规格明细'!K63))</x:f>
        <x:v>0.39749999999999996</x:v>
      </x:c>
      <x:c r="H39" s="178" t="n">
        <x:f>SUM('规格明细'!L62,'规格明细'!L63)</x:f>
        <x:v>23.24481048576</x:v>
      </x:c>
      <x:c r="I39" s="184"/>
    </x:row>
    <x:row r="40">
      <x:c r="A40" s="177" t="str">
        <x:v>2030E</x:v>
      </x:c>
      <x:c r="B40" s="177" t="str">
        <x:v>FAU量测设备</x:v>
      </x:c>
      <x:c r="C40" s="231" t="n">
        <x:f>IF(SUM('规格明细'!G64,'规格明细'!G65)=0,0,SUM('规格明细'!K64,'规格明细'!K65)*100000000/SUM('规格明细'!G64,'规格明细'!G65))</x:f>
        <x:v>65280</x:v>
      </x:c>
      <x:c r="D40" s="216" t="n">
        <x:f>SUM('规格明细'!G64,'规格明细'!G65)</x:f>
        <x:v>38400</x:v>
      </x:c>
      <x:c r="E40" s="177" t="str">
        <x:v>台设备</x:v>
      </x:c>
      <x:c r="F40" s="178" t="n">
        <x:f>SUM('规格明细'!K64,'规格明细'!K65)</x:f>
        <x:v>25.067520000000002</x:v>
      </x:c>
      <x:c r="G40" s="190" t="n">
        <x:f>IF(SUM('规格明细'!K64,'规格明细'!K65)=0,0,SUM('规格明细'!L64,'规格明细'!L65)/SUM('规格明细'!K64,'规格明细'!K65))</x:f>
        <x:v>0.5325000000000001</x:v>
      </x:c>
      <x:c r="H40" s="178" t="n">
        <x:f>SUM('规格明细'!L64,'规格明细'!L65)</x:f>
        <x:v>13.348454400000003</x:v>
      </x:c>
      <x:c r="I40" s="184"/>
    </x:row>
    <x:row r="41">
      <x:c r="A41" s="184"/>
      <x:c r="B41" s="184"/>
      <x:c r="C41" s="184"/>
      <x:c r="D41" s="184"/>
      <x:c r="E41" s="184"/>
      <x:c r="F41" s="184"/>
      <x:c r="G41" s="184"/>
      <x:c r="H41" s="184"/>
      <x:c r="I41" s="184"/>
    </x:row>
    <x:row r="42">
      <x:c r="A42" s="184"/>
      <x:c r="B42" s="184"/>
      <x:c r="C42" s="184"/>
      <x:c r="D42" s="184"/>
      <x:c r="E42" s="184"/>
      <x:c r="F42" s="184"/>
      <x:c r="G42" s="184"/>
      <x:c r="H42" s="184"/>
      <x:c r="I42" s="184"/>
    </x:row>
    <x:row r="43">
      <x:c r="A43" s="176" t="str">
        <x:v>基准情形</x:v>
      </x:c>
      <x:c r="B43" s="176"/>
      <x:c r="C43" s="176"/>
      <x:c r="D43" s="176"/>
      <x:c r="E43" s="176"/>
      <x:c r="F43" s="176"/>
      <x:c r="G43" s="176"/>
      <x:c r="H43" s="176"/>
      <x:c r="I43" s="184"/>
    </x:row>
    <x:row r="44">
      <x:c r="A44" s="176" t="str">
        <x:v>年度</x:v>
      </x:c>
      <x:c r="B44" s="176" t="str">
        <x:v>产品线</x:v>
      </x:c>
      <x:c r="C44" s="176" t="str">
        <x:v>有效单价（元/单位）</x:v>
      </x:c>
      <x:c r="D44" s="176" t="str">
        <x:v>组件数量（基本单位）</x:v>
      </x:c>
      <x:c r="E44" s="176" t="str">
        <x:v>组件单位</x:v>
      </x:c>
      <x:c r="F44" s="176" t="str">
        <x:v>空间（亿元）</x:v>
      </x:c>
      <x:c r="G44" s="176" t="str">
        <x:v>公司份额</x:v>
      </x:c>
      <x:c r="H44" s="176" t="str">
        <x:v>理论收入（亿元）</x:v>
      </x:c>
      <x:c r="I44" s="184"/>
    </x:row>
    <x:row r="45">
      <x:c r="A45" s="177" t="str">
        <x:v>2026E</x:v>
      </x:c>
      <x:c r="B45" s="177" t="str">
        <x:v>800G可插拔透镜</x:v>
      </x:c>
      <x:c r="C45" s="231" t="n">
        <x:f>IF(SUM('规格明细'!G71)=0,0,SUM('规格明细'!K71)*100000000/SUM('规格明细'!G71))</x:f>
        <x:v>4</x:v>
      </x:c>
      <x:c r="D45" s="216" t="n">
        <x:f>SUM('规格明细'!G71)</x:f>
        <x:v>560000000</x:v>
      </x:c>
      <x:c r="E45" s="177" t="str">
        <x:v>只透镜</x:v>
      </x:c>
      <x:c r="F45" s="178" t="n">
        <x:f>SUM('规格明细'!K71)</x:f>
        <x:v>22.4</x:v>
      </x:c>
      <x:c r="G45" s="190" t="n">
        <x:f>IF(SUM('规格明细'!K71)=0,0,SUM('规格明细'!L71)/SUM('规格明细'!K71))</x:f>
        <x:v>0.04</x:v>
      </x:c>
      <x:c r="H45" s="178" t="n">
        <x:f>SUM('规格明细'!L71)</x:f>
        <x:v>0.8959999999999999</x:v>
      </x:c>
      <x:c r="I45" s="184"/>
    </x:row>
    <x:row r="46">
      <x:c r="A46" s="177" t="str">
        <x:v>2026E</x:v>
      </x:c>
      <x:c r="B46" s="177" t="str">
        <x:v>1.6T可插拔透镜</x:v>
      </x:c>
      <x:c r="C46" s="231" t="n">
        <x:f>IF(SUM('规格明细'!G72)=0,0,SUM('规格明细'!K72)*100000000/SUM('规格明细'!G72))</x:f>
        <x:v>5.6</x:v>
      </x:c>
      <x:c r="D46" s="216" t="n">
        <x:f>SUM('规格明细'!G72)</x:f>
        <x:v>188000000</x:v>
      </x:c>
      <x:c r="E46" s="177" t="str">
        <x:v>只透镜</x:v>
      </x:c>
      <x:c r="F46" s="178" t="n">
        <x:f>SUM('规格明细'!K72)</x:f>
        <x:v>10.527999999999999</x:v>
      </x:c>
      <x:c r="G46" s="190" t="n">
        <x:f>IF(SUM('规格明细'!K72)=0,0,SUM('规格明细'!L72)/SUM('规格明细'!K72))</x:f>
        <x:v>0.04</x:v>
      </x:c>
      <x:c r="H46" s="178" t="n">
        <x:f>SUM('规格明细'!L72)</x:f>
        <x:v>0.42111999999999994</x:v>
      </x:c>
      <x:c r="I46" s="184"/>
    </x:row>
    <x:row r="47">
      <x:c r="A47" s="177" t="str">
        <x:v>2026E</x:v>
      </x:c>
      <x:c r="B47" s="177" t="str">
        <x:v>OCS NxN透镜阵列</x:v>
      </x:c>
      <x:c r="C47" s="231" t="n">
        <x:f>IF(SUM('规格明细'!G73,'规格明细'!G74)=0,0,SUM('规格明细'!K73,'规格明细'!K74)*100000000/SUM('规格明细'!G73,'规格明细'!G74))</x:f>
        <x:v>29.09090909090909</x:v>
      </x:c>
      <x:c r="D47" s="216" t="n">
        <x:f>SUM('规格明细'!G73,'规格明细'!G74)</x:f>
        <x:v>7040000</x:v>
      </x:c>
      <x:c r="E47" s="177" t="str">
        <x:v>总光通道</x:v>
      </x:c>
      <x:c r="F47" s="178" t="n">
        <x:f>SUM('规格明细'!K73,'规格明细'!K74)</x:f>
        <x:v>2.048</x:v>
      </x:c>
      <x:c r="G47" s="190" t="n">
        <x:f>IF(SUM('规格明细'!K73,'规格明细'!K74)=0,0,SUM('规格明细'!L73,'规格明细'!L74)/SUM('规格明细'!K73,'规格明细'!K74))</x:f>
        <x:v>0.9312500000000001</x:v>
      </x:c>
      <x:c r="H47" s="178" t="n">
        <x:f>SUM('规格明细'!L73,'规格明细'!L74)</x:f>
        <x:v>1.9072000000000002</x:v>
      </x:c>
      <x:c r="I47" s="184"/>
    </x:row>
    <x:row r="48">
      <x:c r="A48" s="177" t="str">
        <x:v>2026E</x:v>
      </x:c>
      <x:c r="B48" s="177" t="str">
        <x:v>FAU V型槽</x:v>
      </x:c>
      <x:c r="C48" s="231" t="n">
        <x:f>IF(SUM('规格明细'!G75,'规格明细'!G76)=0,0,SUM('规格明细'!K75,'规格明细'!K76)*100000000/SUM('规格明细'!G75,'规格明细'!G76))</x:f>
        <x:v>8.959999999999997</x:v>
      </x:c>
      <x:c r="D48" s="216" t="n">
        <x:f>SUM('规格明细'!G75,'规格明细'!G76)</x:f>
        <x:v>23040000</x:v>
      </x:c>
      <x:c r="E48" s="177" t="str">
        <x:v>通道</x:v>
      </x:c>
      <x:c r="F48" s="178" t="n">
        <x:f>SUM('规格明细'!K75,'规格明细'!K76)</x:f>
        <x:v>2.0643839999999996</x:v>
      </x:c>
      <x:c r="G48" s="190" t="n">
        <x:f>IF(SUM('规格明细'!K75,'规格明细'!K76)=0,0,SUM('规格明细'!L75,'规格明细'!L76)/SUM('规格明细'!K75,'规格明细'!K76))</x:f>
        <x:v>0.45</x:v>
      </x:c>
      <x:c r="H48" s="178" t="n">
        <x:f>SUM('规格明细'!L75,'规格明细'!L76)</x:f>
        <x:v>0.9289727999999998</x:v>
      </x:c>
      <x:c r="I48" s="184"/>
    </x:row>
    <x:row r="49">
      <x:c r="A49" s="177" t="str">
        <x:v>2026E</x:v>
      </x:c>
      <x:c r="B49" s="177" t="str">
        <x:v>FAU棱镜阵列</x:v>
      </x:c>
      <x:c r="C49" s="231" t="n">
        <x:f>IF(SUM('规格明细'!G77,'规格明细'!G78)=0,0,SUM('规格明细'!K77,'规格明细'!K78)*100000000/SUM('规格明细'!G77,'规格明细'!G78))</x:f>
        <x:v>12.8</x:v>
      </x:c>
      <x:c r="D49" s="216" t="n">
        <x:f>SUM('规格明细'!G77,'规格明细'!G78)</x:f>
        <x:v>23040000</x:v>
      </x:c>
      <x:c r="E49" s="177" t="str">
        <x:v>通道</x:v>
      </x:c>
      <x:c r="F49" s="178" t="n">
        <x:f>SUM('规格明细'!K77,'规格明细'!K78)</x:f>
        <x:v>2.94912</x:v>
      </x:c>
      <x:c r="G49" s="190" t="n">
        <x:f>'机会输入'!E24</x:f>
        <x:v>0.45</x:v>
      </x:c>
      <x:c r="H49" s="178" t="n">
        <x:f>SUM('规格明细'!L77,'规格明细'!L78)</x:f>
        <x:v>1.327104</x:v>
      </x:c>
      <x:c r="I49" s="184"/>
    </x:row>
    <x:row r="50">
      <x:c r="A50" s="177" t="str">
        <x:v>2026E</x:v>
      </x:c>
      <x:c r="B50" s="177" t="str">
        <x:v>ELS透镜＋热沉</x:v>
      </x:c>
      <x:c r="C50" s="231" t="n">
        <x:f>IF(SUM('规格明细'!G79,'规格明细'!G80)=0,0,SUM('规格明细'!K79,'规格明细'!K80)*100000000/SUM('规格明细'!G79,'规格明细'!G80))</x:f>
        <x:v>64</x:v>
      </x:c>
      <x:c r="D50" s="216" t="n">
        <x:f>SUM('规格明细'!G79,'规格明细'!G80)</x:f>
        <x:v>2560000</x:v>
      </x:c>
      <x:c r="E50" s="177" t="str">
        <x:v>套光源配套</x:v>
      </x:c>
      <x:c r="F50" s="178" t="n">
        <x:f>SUM('规格明细'!K79,'规格明细'!K80)</x:f>
        <x:v>1.6384</x:v>
      </x:c>
      <x:c r="G50" s="190" t="n">
        <x:f>IF(SUM('规格明细'!K79,'规格明细'!K80)=0,0,SUM('规格明细'!L79,'规格明细'!L80)/SUM('规格明细'!K79,'规格明细'!K80))</x:f>
        <x:v>0.45</x:v>
      </x:c>
      <x:c r="H50" s="178" t="n">
        <x:f>SUM('规格明细'!L79,'规格明细'!L80)</x:f>
        <x:v>0.73728</x:v>
      </x:c>
      <x:c r="I50" s="184"/>
    </x:row>
    <x:row r="51">
      <x:c r="A51" s="177" t="str">
        <x:v>2026E</x:v>
      </x:c>
      <x:c r="B51" s="177" t="str">
        <x:v>FAU量测设备</x:v>
      </x:c>
      <x:c r="C51" s="231" t="n">
        <x:f>IF(SUM('规格明细'!G81,'规格明细'!G82)=0,0,SUM('规格明细'!K81,'规格明细'!K82)*100000000/SUM('规格明细'!G81,'规格明细'!G82))</x:f>
        <x:v>64000</x:v>
      </x:c>
      <x:c r="D51" s="216" t="n">
        <x:f>SUM('规格明细'!G81,'规格明细'!G82)</x:f>
        <x:v>640</x:v>
      </x:c>
      <x:c r="E51" s="177" t="str">
        <x:v>台设备</x:v>
      </x:c>
      <x:c r="F51" s="178" t="n">
        <x:f>SUM('规格明细'!K81,'规格明细'!K82)</x:f>
        <x:v>0.4096</x:v>
      </x:c>
      <x:c r="G51" s="190" t="n">
        <x:f>IF(SUM('规格明细'!K81,'规格明细'!K82)=0,0,SUM('规格明细'!L81,'规格明细'!L82)/SUM('规格明细'!K81,'规格明细'!K82))</x:f>
        <x:v>0.1</x:v>
      </x:c>
      <x:c r="H51" s="178" t="n">
        <x:f>SUM('规格明细'!L81,'规格明细'!L82)</x:f>
        <x:v>0.04096</x:v>
      </x:c>
      <x:c r="I51" s="184"/>
    </x:row>
    <x:row r="52">
      <x:c r="A52" s="177" t="str">
        <x:v>2027E</x:v>
      </x:c>
      <x:c r="B52" s="177" t="str">
        <x:v>800G可插拔透镜</x:v>
      </x:c>
      <x:c r="C52" s="231" t="n">
        <x:f>IF(SUM('规格明细'!G83)=0,0,SUM('规格明细'!K83)*100000000/SUM('规格明细'!G83))</x:f>
        <x:v>3.6</x:v>
      </x:c>
      <x:c r="D52" s="216" t="n">
        <x:f>SUM('规格明细'!G83)</x:f>
        <x:v>725000000</x:v>
      </x:c>
      <x:c r="E52" s="177" t="str">
        <x:v>只透镜</x:v>
      </x:c>
      <x:c r="F52" s="178" t="n">
        <x:f>SUM('规格明细'!K83)</x:f>
        <x:v>26.1</x:v>
      </x:c>
      <x:c r="G52" s="190" t="n">
        <x:f>IF(SUM('规格明细'!K83)=0,0,SUM('规格明细'!L83)/SUM('规格明细'!K83))</x:f>
        <x:v>0.09</x:v>
      </x:c>
      <x:c r="H52" s="178" t="n">
        <x:f>SUM('规格明细'!L83)</x:f>
        <x:v>2.349</x:v>
      </x:c>
      <x:c r="I52" s="184"/>
    </x:row>
    <x:row r="53">
      <x:c r="A53" s="177" t="str">
        <x:v>2027E</x:v>
      </x:c>
      <x:c r="B53" s="177" t="str">
        <x:v>1.6T可插拔透镜</x:v>
      </x:c>
      <x:c r="C53" s="231" t="n">
        <x:f>IF(SUM('规格明细'!G84)=0,0,SUM('规格明细'!K84)*100000000/SUM('规格明细'!G84))</x:f>
        <x:v>5.04</x:v>
      </x:c>
      <x:c r="D53" s="216" t="n">
        <x:f>SUM('规格明细'!G84)</x:f>
        <x:v>640000000</x:v>
      </x:c>
      <x:c r="E53" s="177" t="str">
        <x:v>只透镜</x:v>
      </x:c>
      <x:c r="F53" s="178" t="n">
        <x:f>SUM('规格明细'!K84)</x:f>
        <x:v>32.256</x:v>
      </x:c>
      <x:c r="G53" s="190" t="n">
        <x:f>IF(SUM('规格明细'!K84)=0,0,SUM('规格明细'!L84)/SUM('规格明细'!K84))</x:f>
        <x:v>0.09</x:v>
      </x:c>
      <x:c r="H53" s="178" t="n">
        <x:f>SUM('规格明细'!L84)</x:f>
        <x:v>2.90304</x:v>
      </x:c>
      <x:c r="I53" s="184"/>
    </x:row>
    <x:row r="54">
      <x:c r="A54" s="177" t="str">
        <x:v>2027E</x:v>
      </x:c>
      <x:c r="B54" s="177" t="str">
        <x:v>OCS NxN透镜阵列</x:v>
      </x:c>
      <x:c r="C54" s="231" t="n">
        <x:f>IF(SUM('规格明细'!G85,'规格明细'!G86)=0,0,SUM('规格明细'!K85,'规格明细'!K86)*100000000/SUM('规格明细'!G85,'规格明细'!G86))</x:f>
        <x:v>26</x:v>
      </x:c>
      <x:c r="D54" s="216" t="n">
        <x:f>SUM('规格明细'!G85,'规格明细'!G86)</x:f>
        <x:v>40960000</x:v>
      </x:c>
      <x:c r="E54" s="177" t="str">
        <x:v>总光通道</x:v>
      </x:c>
      <x:c r="F54" s="178" t="n">
        <x:f>SUM('规格明细'!K85,'规格明细'!K86)</x:f>
        <x:v>10.6496</x:v>
      </x:c>
      <x:c r="G54" s="190" t="n">
        <x:f>IF(SUM('规格明细'!K85,'规格明细'!K86)=0,0,SUM('规格明细'!L85,'规格明细'!L86)/SUM('规格明细'!K85,'规格明细'!K86))</x:f>
        <x:v>0.9384615384615387</x:v>
      </x:c>
      <x:c r="H54" s="178" t="n">
        <x:f>SUM('规格明细'!L85,'规格明细'!L86)</x:f>
        <x:v>9.994240000000001</x:v>
      </x:c>
      <x:c r="I54" s="184"/>
    </x:row>
    <x:row r="55">
      <x:c r="A55" s="177" t="str">
        <x:v>2027E</x:v>
      </x:c>
      <x:c r="B55" s="177" t="str">
        <x:v>FAU V型槽</x:v>
      </x:c>
      <x:c r="C55" s="231" t="n">
        <x:f>IF(SUM('规格明细'!G87,'规格明细'!G88)=0,0,SUM('规格明细'!K87,'规格明细'!K88)*100000000/SUM('规格明细'!G87,'规格明细'!G88))</x:f>
        <x:v>7.167999999999998</x:v>
      </x:c>
      <x:c r="D55" s="216" t="n">
        <x:f>SUM('规格明细'!G87,'规格明细'!G88)</x:f>
        <x:v>230400000</x:v>
      </x:c>
      <x:c r="E55" s="177" t="str">
        <x:v>通道</x:v>
      </x:c>
      <x:c r="F55" s="178" t="n">
        <x:f>SUM('规格明细'!K87,'规格明细'!K88)</x:f>
        <x:v>16.515071999999996</x:v>
      </x:c>
      <x:c r="G55" s="190" t="n">
        <x:f>IF(SUM('规格明细'!K87,'规格明细'!K88)=0,0,SUM('规格明细'!L87,'规格明细'!L88)/SUM('规格明细'!K87,'规格明细'!K88))</x:f>
        <x:v>0.5</x:v>
      </x:c>
      <x:c r="H55" s="178" t="n">
        <x:f>SUM('规格明细'!L87,'规格明细'!L88)</x:f>
        <x:v>8.257535999999998</x:v>
      </x:c>
      <x:c r="I55" s="184"/>
    </x:row>
    <x:row r="56">
      <x:c r="A56" s="177" t="str">
        <x:v>2027E</x:v>
      </x:c>
      <x:c r="B56" s="177" t="str">
        <x:v>FAU棱镜阵列</x:v>
      </x:c>
      <x:c r="C56" s="231" t="n">
        <x:f>IF(SUM('规格明细'!G89,'规格明细'!G90)=0,0,SUM('规格明细'!K89,'规格明细'!K90)*100000000/SUM('规格明细'!G89,'规格明细'!G90))</x:f>
        <x:v>10.240000000000002</x:v>
      </x:c>
      <x:c r="D56" s="216" t="n">
        <x:f>SUM('规格明细'!G89,'规格明细'!G90)</x:f>
        <x:v>230400000</x:v>
      </x:c>
      <x:c r="E56" s="177" t="str">
        <x:v>通道</x:v>
      </x:c>
      <x:c r="F56" s="178" t="n">
        <x:f>SUM('规格明细'!K89,'规格明细'!K90)</x:f>
        <x:v>23.592960000000005</x:v>
      </x:c>
      <x:c r="G56" s="190" t="n">
        <x:f>'机会输入'!F24</x:f>
        <x:v>0.45</x:v>
      </x:c>
      <x:c r="H56" s="178" t="n">
        <x:f>SUM('规格明细'!L89,'规格明细'!L90)</x:f>
        <x:v>10.616832000000002</x:v>
      </x:c>
      <x:c r="I56" s="184"/>
    </x:row>
    <x:row r="57">
      <x:c r="A57" s="177" t="str">
        <x:v>2027E</x:v>
      </x:c>
      <x:c r="B57" s="177" t="str">
        <x:v>ELS透镜＋热沉</x:v>
      </x:c>
      <x:c r="C57" s="231" t="n">
        <x:f>IF(SUM('规格明细'!G91,'规格明细'!G92)=0,0,SUM('规格明细'!K91,'规格明细'!K92)*100000000/SUM('规格明细'!G91,'规格明细'!G92))</x:f>
        <x:v>51.2</x:v>
      </x:c>
      <x:c r="D57" s="216" t="n">
        <x:f>SUM('规格明细'!G91,'规格明细'!G92)</x:f>
        <x:v>25600000</x:v>
      </x:c>
      <x:c r="E57" s="177" t="str">
        <x:v>套光源配套</x:v>
      </x:c>
      <x:c r="F57" s="178" t="n">
        <x:f>SUM('规格明细'!K91,'规格明细'!K92)</x:f>
        <x:v>13.1072</x:v>
      </x:c>
      <x:c r="G57" s="190" t="n">
        <x:f>IF(SUM('规格明细'!K91,'规格明细'!K92)=0,0,SUM('规格明细'!L91,'规格明细'!L92)/SUM('规格明细'!K91,'规格明细'!K92))</x:f>
        <x:v>0.45</x:v>
      </x:c>
      <x:c r="H57" s="178" t="n">
        <x:f>SUM('规格明细'!L91,'规格明细'!L92)</x:f>
        <x:v>5.89824</x:v>
      </x:c>
      <x:c r="I57" s="184"/>
    </x:row>
    <x:row r="58">
      <x:c r="A58" s="177" t="str">
        <x:v>2027E</x:v>
      </x:c>
      <x:c r="B58" s="177" t="str">
        <x:v>FAU量测设备</x:v>
      </x:c>
      <x:c r="C58" s="231" t="n">
        <x:f>IF(SUM('规格明细'!G93,'规格明细'!G94)=0,0,SUM('规格明细'!K93,'规格明细'!K94)*100000000/SUM('规格明细'!G93,'规格明细'!G94))</x:f>
        <x:v>64000</x:v>
      </x:c>
      <x:c r="D58" s="216" t="n">
        <x:f>SUM('规格明细'!G93,'规格明细'!G94)</x:f>
        <x:v>6400</x:v>
      </x:c>
      <x:c r="E58" s="177" t="str">
        <x:v>台设备</x:v>
      </x:c>
      <x:c r="F58" s="178" t="n">
        <x:f>SUM('规格明细'!K93,'规格明细'!K94)</x:f>
        <x:v>4.096</x:v>
      </x:c>
      <x:c r="G58" s="190" t="n">
        <x:f>IF(SUM('规格明细'!K93,'规格明细'!K94)=0,0,SUM('规格明细'!L93,'规格明细'!L94)/SUM('规格明细'!K93,'规格明细'!K94))</x:f>
        <x:v>0.3</x:v>
      </x:c>
      <x:c r="H58" s="178" t="n">
        <x:f>SUM('规格明细'!L93,'规格明细'!L94)</x:f>
        <x:v>1.2288</x:v>
      </x:c>
      <x:c r="I58" s="184"/>
    </x:row>
    <x:row r="59">
      <x:c r="A59" s="177" t="str">
        <x:v>2028E</x:v>
      </x:c>
      <x:c r="B59" s="177" t="str">
        <x:v>800G可插拔透镜</x:v>
      </x:c>
      <x:c r="C59" s="231" t="n">
        <x:f>IF(SUM('规格明细'!G95)=0,0,SUM('规格明细'!K95)*100000000/SUM('规格明细'!G95))</x:f>
        <x:v>3.24</x:v>
      </x:c>
      <x:c r="D59" s="216" t="n">
        <x:f>SUM('规格明细'!G95)</x:f>
        <x:v>500000000</x:v>
      </x:c>
      <x:c r="E59" s="177" t="str">
        <x:v>只透镜</x:v>
      </x:c>
      <x:c r="F59" s="178" t="n">
        <x:f>SUM('规格明细'!K95)</x:f>
        <x:v>16.2</x:v>
      </x:c>
      <x:c r="G59" s="190" t="n">
        <x:f>IF(SUM('规格明细'!K95)=0,0,SUM('规格明细'!L95)/SUM('规格明细'!K95))</x:f>
        <x:v>0.1</x:v>
      </x:c>
      <x:c r="H59" s="178" t="n">
        <x:f>SUM('规格明细'!L95)</x:f>
        <x:v>1.62</x:v>
      </x:c>
      <x:c r="I59" s="184"/>
    </x:row>
    <x:row r="60">
      <x:c r="A60" s="177" t="str">
        <x:v>2028E</x:v>
      </x:c>
      <x:c r="B60" s="177" t="str">
        <x:v>1.6T可插拔透镜</x:v>
      </x:c>
      <x:c r="C60" s="231" t="n">
        <x:f>IF(SUM('规格明细'!G96)=0,0,SUM('规格明细'!K96)*100000000/SUM('规格明细'!G96))</x:f>
        <x:v>4.536</x:v>
      </x:c>
      <x:c r="D60" s="216" t="n">
        <x:f>SUM('规格明细'!G96)</x:f>
        <x:v>1050000000</x:v>
      </x:c>
      <x:c r="E60" s="177" t="str">
        <x:v>只透镜</x:v>
      </x:c>
      <x:c r="F60" s="178" t="n">
        <x:f>SUM('规格明细'!K96)</x:f>
        <x:v>47.628</x:v>
      </x:c>
      <x:c r="G60" s="190" t="n">
        <x:f>IF(SUM('规格明细'!K96)=0,0,SUM('规格明细'!L96)/SUM('规格明细'!K96))</x:f>
        <x:v>0.1</x:v>
      </x:c>
      <x:c r="H60" s="178" t="n">
        <x:f>SUM('规格明细'!L96)</x:f>
        <x:v>4.7628</x:v>
      </x:c>
      <x:c r="I60" s="184"/>
    </x:row>
    <x:row r="61">
      <x:c r="A61" s="177" t="str">
        <x:v>2028E</x:v>
      </x:c>
      <x:c r="B61" s="177" t="str">
        <x:v>OCS NxN透镜阵列</x:v>
      </x:c>
      <x:c r="C61" s="231" t="n">
        <x:f>IF(SUM('规格明细'!G97,'规格明细'!G98)=0,0,SUM('规格明细'!K97,'规格明细'!K98)*100000000/SUM('规格明细'!G97,'规格明细'!G98))</x:f>
        <x:v>25.24931506849315</x:v>
      </x:c>
      <x:c r="D61" s="216" t="n">
        <x:f>SUM('规格明细'!G97,'规格明细'!G98)</x:f>
        <x:v>93440000</x:v>
      </x:c>
      <x:c r="E61" s="177" t="str">
        <x:v>总光通道</x:v>
      </x:c>
      <x:c r="F61" s="178" t="n">
        <x:f>SUM('规格明细'!K97,'规格明细'!K98)</x:f>
        <x:v>23.592959999999998</x:v>
      </x:c>
      <x:c r="G61" s="190" t="n">
        <x:f>IF(SUM('规格明细'!K97,'规格明细'!K98)=0,0,SUM('规格明细'!L97,'规格明细'!L98)/SUM('规格明细'!K97,'规格明细'!K98))</x:f>
        <x:v>0.8429687500000002</x:v>
      </x:c>
      <x:c r="H61" s="178" t="n">
        <x:f>SUM('规格明细'!L97,'规格明细'!L98)</x:f>
        <x:v>19.888128000000002</x:v>
      </x:c>
      <x:c r="I61" s="184"/>
    </x:row>
    <x:row r="62">
      <x:c r="A62" s="177" t="str">
        <x:v>2028E</x:v>
      </x:c>
      <x:c r="B62" s="177" t="str">
        <x:v>FAU V型槽</x:v>
      </x:c>
      <x:c r="C62" s="231" t="n">
        <x:f>IF(SUM('规格明细'!G99,'规格明细'!G100)=0,0,SUM('规格明细'!K99,'规格明细'!K100)*100000000/SUM('规格明细'!G99,'规格明细'!G100))</x:f>
        <x:v>7.3728</x:v>
      </x:c>
      <x:c r="D62" s="216" t="n">
        <x:f>SUM('规格明细'!G99,'规格明细'!G100)</x:f>
        <x:v>806400000</x:v>
      </x:c>
      <x:c r="E62" s="177" t="str">
        <x:v>通道</x:v>
      </x:c>
      <x:c r="F62" s="178" t="n">
        <x:f>SUM('规格明细'!K99,'规格明细'!K100)</x:f>
        <x:v>59.454259199999996</x:v>
      </x:c>
      <x:c r="G62" s="190" t="n">
        <x:f>IF(SUM('规格明细'!K99,'规格明细'!K100)=0,0,SUM('规格明细'!L99,'规格明细'!L100)/SUM('规格明细'!K99,'规格明细'!K100))</x:f>
        <x:v>0.58125</x:v>
      </x:c>
      <x:c r="H62" s="178" t="n">
        <x:f>SUM('规格明细'!L99,'规格明细'!L100)</x:f>
        <x:v>34.55778816</x:v>
      </x:c>
      <x:c r="I62" s="184"/>
    </x:row>
    <x:row r="63">
      <x:c r="A63" s="177" t="str">
        <x:v>2028E</x:v>
      </x:c>
      <x:c r="B63" s="177" t="str">
        <x:v>FAU棱镜阵列</x:v>
      </x:c>
      <x:c r="C63" s="231" t="n">
        <x:f>IF(SUM('规格明细'!G101,'规格明细'!G102)=0,0,SUM('规格明细'!K101,'规格明细'!K102)*100000000/SUM('规格明细'!G101,'规格明细'!G102))</x:f>
        <x:v>10.532571428571428</x:v>
      </x:c>
      <x:c r="D63" s="216" t="n">
        <x:f>SUM('规格明细'!G101,'规格明细'!G102)</x:f>
        <x:v>806400000</x:v>
      </x:c>
      <x:c r="E63" s="177" t="str">
        <x:v>通道</x:v>
      </x:c>
      <x:c r="F63" s="178" t="n">
        <x:f>SUM('规格明细'!K101,'规格明细'!K102)</x:f>
        <x:v>84.93465599999999</x:v>
      </x:c>
      <x:c r="G63" s="190" t="n">
        <x:f>'机会输入'!G24</x:f>
        <x:v>0.45</x:v>
      </x:c>
      <x:c r="H63" s="178" t="n">
        <x:f>SUM('规格明细'!L101,'规格明细'!L102)</x:f>
        <x:v>38.2205952</x:v>
      </x:c>
      <x:c r="I63" s="184"/>
    </x:row>
    <x:row r="64">
      <x:c r="A64" s="177" t="str">
        <x:v>2028E</x:v>
      </x:c>
      <x:c r="B64" s="177" t="str">
        <x:v>ELS透镜＋热沉</x:v>
      </x:c>
      <x:c r="C64" s="231" t="n">
        <x:f>IF(SUM('规格明细'!G103,'规格明细'!G104)=0,0,SUM('规格明细'!K103,'规格明细'!K104)*100000000/SUM('规格明细'!G103,'规格明细'!G104))</x:f>
        <x:v>50.688</x:v>
      </x:c>
      <x:c r="D64" s="216" t="n">
        <x:f>SUM('规格明细'!G103,'规格明细'!G104)</x:f>
        <x:v>64000000</x:v>
      </x:c>
      <x:c r="E64" s="177" t="str">
        <x:v>套光源配套</x:v>
      </x:c>
      <x:c r="F64" s="178" t="n">
        <x:f>SUM('规格明细'!K103,'规格明细'!K104)</x:f>
        <x:v>32.44032</x:v>
      </x:c>
      <x:c r="G64" s="190" t="n">
        <x:f>IF(SUM('规格明细'!K103,'规格明细'!K104)=0,0,SUM('规格明细'!L103,'规格明细'!L104)/SUM('规格明细'!K103,'规格明细'!K104))</x:f>
        <x:v>0.45606060606060606</x:v>
      </x:c>
      <x:c r="H64" s="178" t="n">
        <x:f>SUM('规格明细'!L103,'规格明细'!L104)</x:f>
        <x:v>14.794751999999999</x:v>
      </x:c>
      <x:c r="I64" s="184"/>
    </x:row>
    <x:row r="65">
      <x:c r="A65" s="177" t="str">
        <x:v>2028E</x:v>
      </x:c>
      <x:c r="B65" s="177" t="str">
        <x:v>FAU量测设备</x:v>
      </x:c>
      <x:c r="C65" s="231" t="n">
        <x:f>IF(SUM('规格明细'!G105,'规格明细'!G106)=0,0,SUM('规格明细'!K105,'规格明细'!K106)*100000000/SUM('规格明细'!G105,'规格明细'!G106))</x:f>
        <x:v>70400</x:v>
      </x:c>
      <x:c r="D65" s="216" t="n">
        <x:f>SUM('规格明细'!G105,'规格明细'!G106)</x:f>
        <x:v>16000</x:v>
      </x:c>
      <x:c r="E65" s="177" t="str">
        <x:v>台设备</x:v>
      </x:c>
      <x:c r="F65" s="178" t="n">
        <x:f>SUM('规格明细'!K105,'规格明细'!K106)</x:f>
        <x:v>11.264</x:v>
      </x:c>
      <x:c r="G65" s="190" t="n">
        <x:f>IF(SUM('规格明细'!K105,'规格明细'!K106)=0,0,SUM('规格明细'!L105,'规格明细'!L106)/SUM('规格明细'!K105,'规格明细'!K106))</x:f>
        <x:v>0.4727272727272727</x:v>
      </x:c>
      <x:c r="H65" s="178" t="n">
        <x:f>SUM('规格明细'!L105,'规格明细'!L106)</x:f>
        <x:v>5.3248</x:v>
      </x:c>
      <x:c r="I65" s="184"/>
    </x:row>
    <x:row r="66">
      <x:c r="A66" s="177" t="str">
        <x:v>2029E</x:v>
      </x:c>
      <x:c r="B66" s="177" t="str">
        <x:v>800G可插拔透镜</x:v>
      </x:c>
      <x:c r="C66" s="231" t="n">
        <x:f>IF(SUM('规格明细'!G107)=0,0,SUM('规格明细'!K107)*100000000/SUM('规格明细'!G107))</x:f>
        <x:v>2.9160000000000004</x:v>
      </x:c>
      <x:c r="D66" s="216" t="n">
        <x:f>SUM('规格明细'!G107)</x:f>
        <x:v>320000000</x:v>
      </x:c>
      <x:c r="E66" s="177" t="str">
        <x:v>只透镜</x:v>
      </x:c>
      <x:c r="F66" s="178" t="n">
        <x:f>SUM('规格明细'!K107)</x:f>
        <x:v>9.3312</x:v>
      </x:c>
      <x:c r="G66" s="190" t="n">
        <x:f>IF(SUM('规格明细'!K107)=0,0,SUM('规格明细'!L107)/SUM('规格明细'!K107))</x:f>
        <x:v>0.1</x:v>
      </x:c>
      <x:c r="H66" s="178" t="n">
        <x:f>SUM('规格明细'!L107)</x:f>
        <x:v>0.9331200000000002</x:v>
      </x:c>
      <x:c r="I66" s="184"/>
    </x:row>
    <x:row r="67">
      <x:c r="A67" s="177" t="str">
        <x:v>2029E</x:v>
      </x:c>
      <x:c r="B67" s="177" t="str">
        <x:v>1.6T可插拔透镜</x:v>
      </x:c>
      <x:c r="C67" s="231" t="n">
        <x:f>IF(SUM('规格明细'!G108)=0,0,SUM('规格明细'!K108)*100000000/SUM('规格明细'!G108))</x:f>
        <x:v>4.0824</x:v>
      </x:c>
      <x:c r="D67" s="216" t="n">
        <x:f>SUM('规格明细'!G108)</x:f>
        <x:v>1450000000</x:v>
      </x:c>
      <x:c r="E67" s="177" t="str">
        <x:v>只透镜</x:v>
      </x:c>
      <x:c r="F67" s="178" t="n">
        <x:f>SUM('规格明细'!K108)</x:f>
        <x:v>59.1948</x:v>
      </x:c>
      <x:c r="G67" s="190" t="n">
        <x:f>IF(SUM('规格明细'!K108)=0,0,SUM('规格明细'!L108)/SUM('规格明细'!K108))</x:f>
        <x:v>0.1</x:v>
      </x:c>
      <x:c r="H67" s="178" t="n">
        <x:f>SUM('规格明细'!L108)</x:f>
        <x:v>5.91948</x:v>
      </x:c>
      <x:c r="I67" s="184"/>
    </x:row>
    <x:row r="68">
      <x:c r="A68" s="177" t="str">
        <x:v>2029E</x:v>
      </x:c>
      <x:c r="B68" s="177" t="str">
        <x:v>OCS NxN透镜阵列</x:v>
      </x:c>
      <x:c r="C68" s="231" t="n">
        <x:f>IF(SUM('规格明细'!G109,'规格明细'!G110)=0,0,SUM('规格明细'!K109,'规格明细'!K110)*100000000/SUM('规格明细'!G109,'规格明细'!G110))</x:f>
        <x:v>23.623291139240507</x:v>
      </x:c>
      <x:c r="D68" s="216" t="n">
        <x:f>SUM('规格明细'!G109,'规格明细'!G110)</x:f>
        <x:v>161792000</x:v>
      </x:c>
      <x:c r="E68" s="177" t="str">
        <x:v>总光通道</x:v>
      </x:c>
      <x:c r="F68" s="178" t="n">
        <x:f>SUM('规格明细'!K109,'规格明细'!K110)</x:f>
        <x:v>38.2205952</x:v>
      </x:c>
      <x:c r="G68" s="190" t="n">
        <x:f>IF(SUM('规格明细'!K109,'规格明细'!K110)=0,0,SUM('规格明细'!L109,'规格明细'!L110)/SUM('规格明细'!K109,'规格明细'!K110))</x:f>
        <x:v>0.7451388888888888</x:v>
      </x:c>
      <x:c r="H68" s="178" t="n">
        <x:f>SUM('规格明细'!L109,'规格明细'!L110)</x:f>
        <x:v>28.479651839999995</x:v>
      </x:c>
      <x:c r="I68" s="184"/>
    </x:row>
    <x:row r="69">
      <x:c r="A69" s="177" t="str">
        <x:v>2029E</x:v>
      </x:c>
      <x:c r="B69" s="177" t="str">
        <x:v>FAU V型槽</x:v>
      </x:c>
      <x:c r="C69" s="231" t="n">
        <x:f>IF(SUM('规格明细'!G111,'规格明细'!G112)=0,0,SUM('规格明细'!K111,'规格明细'!K112)*100000000/SUM('规格明细'!G111,'规格明细'!G112))</x:f>
        <x:v>6.949701818181818</x:v>
      </x:c>
      <x:c r="D69" s="216" t="n">
        <x:f>SUM('规格明细'!G111,'规格明细'!G112)</x:f>
        <x:v>1615680000</x:v>
      </x:c>
      <x:c r="E69" s="177" t="str">
        <x:v>通道</x:v>
      </x:c>
      <x:c r="F69" s="178" t="n">
        <x:f>SUM('规格明细'!K111,'规格明细'!K112)</x:f>
        <x:v>112.284942336</x:v>
      </x:c>
      <x:c r="G69" s="190" t="n">
        <x:f>IF(SUM('规格明细'!K111,'规格明细'!K112)=0,0,SUM('规格明细'!L111,'规格明细'!L112)/SUM('规格明细'!K111,'规格明细'!K112))</x:f>
        <x:v>0.6411392405063292</x:v>
      </x:c>
      <x:c r="H69" s="178" t="n">
        <x:f>SUM('规格明细'!L111,'规格明细'!L112)</x:f>
        <x:v>71.9902826496</x:v>
      </x:c>
      <x:c r="I69" s="184"/>
    </x:row>
    <x:row r="70">
      <x:c r="A70" s="177" t="str">
        <x:v>2029E</x:v>
      </x:c>
      <x:c r="B70" s="177" t="str">
        <x:v>FAU棱镜阵列</x:v>
      </x:c>
      <x:c r="C70" s="231" t="n">
        <x:f>IF(SUM('规格明细'!G113,'规格明细'!G114)=0,0,SUM('规格明细'!K113,'规格明细'!K114)*100000000/SUM('规格明细'!G113,'规格明细'!G114))</x:f>
        <x:v>9.928145454545456</x:v>
      </x:c>
      <x:c r="D70" s="216" t="n">
        <x:f>SUM('规格明细'!G113,'规格明细'!G114)</x:f>
        <x:v>1615680000</x:v>
      </x:c>
      <x:c r="E70" s="177" t="str">
        <x:v>通道</x:v>
      </x:c>
      <x:c r="F70" s="178" t="n">
        <x:f>SUM('规格明细'!K113,'规格明细'!K114)</x:f>
        <x:v>160.40706048</x:v>
      </x:c>
      <x:c r="G70" s="190" t="n">
        <x:f>'机会输入'!H24</x:f>
        <x:v>0.45</x:v>
      </x:c>
      <x:c r="H70" s="178" t="n">
        <x:f>SUM('规格明细'!L113,'规格明细'!L114)</x:f>
        <x:v>72.183177216</x:v>
      </x:c>
      <x:c r="I70" s="184"/>
    </x:row>
    <x:row r="71">
      <x:c r="A71" s="177" t="str">
        <x:v>2029E</x:v>
      </x:c>
      <x:c r="B71" s="177" t="str">
        <x:v>ELS透镜＋热沉</x:v>
      </x:c>
      <x:c r="C71" s="231" t="n">
        <x:f>IF(SUM('规格明细'!G115,'规格明细'!G116)=0,0,SUM('规格明细'!K115,'规格明细'!K116)*100000000/SUM('规格明细'!G115,'规格明细'!G116))</x:f>
        <x:v>48.2112</x:v>
      </x:c>
      <x:c r="D71" s="216" t="n">
        <x:f>SUM('规格明细'!G115,'规格明细'!G116)</x:f>
        <x:v>108800000</x:v>
      </x:c>
      <x:c r="E71" s="177" t="str">
        <x:v>套光源配套</x:v>
      </x:c>
      <x:c r="F71" s="178" t="n">
        <x:f>SUM('规格明细'!K115,'规格明细'!K116)</x:f>
        <x:v>52.4537856</x:v>
      </x:c>
      <x:c r="G71" s="190" t="n">
        <x:f>IF(SUM('规格明细'!K115,'规格明细'!K116)=0,0,SUM('规格明细'!L115,'规格明细'!L116)/SUM('规格明细'!K115,'规格明细'!K116))</x:f>
        <x:v>0.4516129032258065</x:v>
      </x:c>
      <x:c r="H71" s="178" t="n">
        <x:f>SUM('规格明细'!L115,'规格明细'!L116)</x:f>
        <x:v>23.688806400000004</x:v>
      </x:c>
      <x:c r="I71" s="184"/>
    </x:row>
    <x:row r="72">
      <x:c r="A72" s="177" t="str">
        <x:v>2029E</x:v>
      </x:c>
      <x:c r="B72" s="177" t="str">
        <x:v>FAU量测设备</x:v>
      </x:c>
      <x:c r="C72" s="231" t="n">
        <x:f>IF(SUM('规格明细'!G117,'规格明细'!G118)=0,0,SUM('规格明细'!K117,'规格明细'!K118)*100000000/SUM('规格明细'!G117,'规格明细'!G118))</x:f>
        <x:v>74399.99999999999</x:v>
      </x:c>
      <x:c r="D72" s="216" t="n">
        <x:f>SUM('规格明细'!G117,'规格明细'!G118)</x:f>
        <x:v>27200</x:v>
      </x:c>
      <x:c r="E72" s="177" t="str">
        <x:v>台设备</x:v>
      </x:c>
      <x:c r="F72" s="178" t="n">
        <x:f>SUM('规格明细'!K117,'规格明细'!K118)</x:f>
        <x:v>20.2368</x:v>
      </x:c>
      <x:c r="G72" s="190" t="n">
        <x:f>IF(SUM('规格明细'!K117,'规格明细'!K118)=0,0,SUM('规格明细'!L117,'规格明细'!L118)/SUM('规格明细'!K117,'规格明细'!K118))</x:f>
        <x:v>0.5349462365591398</x:v>
      </x:c>
      <x:c r="H72" s="178" t="n">
        <x:f>SUM('规格明细'!L117,'规格明细'!L118)</x:f>
        <x:v>10.8256</x:v>
      </x:c>
      <x:c r="I72" s="184"/>
    </x:row>
    <x:row r="73">
      <x:c r="A73" s="177" t="str">
        <x:v>2030E</x:v>
      </x:c>
      <x:c r="B73" s="177" t="str">
        <x:v>800G可插拔透镜</x:v>
      </x:c>
      <x:c r="C73" s="231" t="n">
        <x:f>IF(SUM('规格明细'!G119)=0,0,SUM('规格明细'!K119)*100000000/SUM('规格明细'!G119))</x:f>
        <x:v>2.6243999999999996</x:v>
      </x:c>
      <x:c r="D73" s="216" t="n">
        <x:f>SUM('规格明细'!G119)</x:f>
        <x:v>180000000</x:v>
      </x:c>
      <x:c r="E73" s="177" t="str">
        <x:v>只透镜</x:v>
      </x:c>
      <x:c r="F73" s="178" t="n">
        <x:f>SUM('规格明细'!K119)</x:f>
        <x:v>4.72392</x:v>
      </x:c>
      <x:c r="G73" s="190" t="n">
        <x:f>IF(SUM('规格明细'!K119)=0,0,SUM('规格明细'!L119)/SUM('规格明细'!K119))</x:f>
        <x:v>0.1</x:v>
      </x:c>
      <x:c r="H73" s="178" t="n">
        <x:f>SUM('规格明细'!L119)</x:f>
        <x:v>0.472392</x:v>
      </x:c>
      <x:c r="I73" s="184"/>
    </x:row>
    <x:row r="74">
      <x:c r="A74" s="177" t="str">
        <x:v>2030E</x:v>
      </x:c>
      <x:c r="B74" s="177" t="str">
        <x:v>1.6T可插拔透镜</x:v>
      </x:c>
      <x:c r="C74" s="231" t="n">
        <x:f>IF(SUM('规格明细'!G120)=0,0,SUM('规格明细'!K120)*100000000/SUM('规格明细'!G120))</x:f>
        <x:v>3.674159999999999</x:v>
      </x:c>
      <x:c r="D74" s="216" t="n">
        <x:f>SUM('规格明细'!G120)</x:f>
        <x:v>1600000000</x:v>
      </x:c>
      <x:c r="E74" s="177" t="str">
        <x:v>只透镜</x:v>
      </x:c>
      <x:c r="F74" s="178" t="n">
        <x:f>SUM('规格明细'!K120)</x:f>
        <x:v>58.78655999999999</x:v>
      </x:c>
      <x:c r="G74" s="190" t="n">
        <x:f>IF(SUM('规格明细'!K120)=0,0,SUM('规格明细'!L120)/SUM('规格明细'!K120))</x:f>
        <x:v>0.1</x:v>
      </x:c>
      <x:c r="H74" s="178" t="n">
        <x:f>SUM('规格明细'!L120)</x:f>
        <x:v>5.878655999999999</x:v>
      </x:c>
      <x:c r="I74" s="184"/>
    </x:row>
    <x:row r="75">
      <x:c r="A75" s="177" t="str">
        <x:v>2030E</x:v>
      </x:c>
      <x:c r="B75" s="177" t="str">
        <x:v>OCS NxN透镜阵列</x:v>
      </x:c>
      <x:c r="C75" s="231" t="n">
        <x:f>IF(SUM('规格明细'!G121,'规格明细'!G122)=0,0,SUM('规格明细'!K121,'规格明细'!K122)*100000000/SUM('规格明细'!G121,'规格明细'!G122))</x:f>
        <x:v>21.955764705882356</x:v>
      </x:c>
      <x:c r="D75" s="216" t="n">
        <x:f>SUM('规格明细'!G121,'规格明细'!G122)</x:f>
        <x:v>244800000</x:v>
      </x:c>
      <x:c r="E75" s="177" t="str">
        <x:v>总光通道</x:v>
      </x:c>
      <x:c r="F75" s="178" t="n">
        <x:f>SUM('规格明细'!K121,'规格明细'!K122)</x:f>
        <x:v>53.74771200000001</x:v>
      </x:c>
      <x:c r="G75" s="190" t="n">
        <x:f>IF(SUM('规格明细'!K121,'规格明细'!K122)=0,0,SUM('规格明细'!L121,'规格明细'!L122)/SUM('规格明细'!K121,'规格明细'!K122))</x:f>
        <x:v>0.6468750000000001</x:v>
      </x:c>
      <x:c r="H75" s="178" t="n">
        <x:f>SUM('规格明细'!L121,'规格明细'!L122)</x:f>
        <x:v>34.76805120000001</x:v>
      </x:c>
      <x:c r="I75" s="184"/>
    </x:row>
    <x:row r="76">
      <x:c r="A76" s="177" t="str">
        <x:v>2030E</x:v>
      </x:c>
      <x:c r="B76" s="177" t="str">
        <x:v>FAU V型槽</x:v>
      </x:c>
      <x:c r="C76" s="231" t="n">
        <x:f>IF(SUM('规格明细'!G123,'规格明细'!G124)=0,0,SUM('规格明细'!K123,'规格明细'!K124)*100000000/SUM('规格明细'!G123,'规格明细'!G124))</x:f>
        <x:v>6.386688</x:v>
      </x:c>
      <x:c r="D76" s="216" t="n">
        <x:f>SUM('规格明细'!G123,'规格明细'!G124)</x:f>
        <x:v>2488320000</x:v>
      </x:c>
      <x:c r="E76" s="177" t="str">
        <x:v>通道</x:v>
      </x:c>
      <x:c r="F76" s="178" t="n">
        <x:f>SUM('规格明细'!K123,'规格明细'!K124)</x:f>
        <x:v>158.9212348416</x:v>
      </x:c>
      <x:c r="G76" s="190" t="n">
        <x:f>IF(SUM('规格明细'!K123,'规格明细'!K124)=0,0,SUM('规格明细'!L123,'规格明细'!L124)/SUM('规格明细'!K123,'规格明细'!K124))</x:f>
        <x:v>0.6954545454545455</x:v>
      </x:c>
      <x:c r="H76" s="178" t="n">
        <x:f>SUM('规格明细'!L123,'规格明细'!L124)</x:f>
        <x:v>110.52249513984002</x:v>
      </x:c>
      <x:c r="I76" s="184"/>
    </x:row>
    <x:row r="77">
      <x:c r="A77" s="177" t="str">
        <x:v>2030E</x:v>
      </x:c>
      <x:c r="B77" s="177" t="str">
        <x:v>FAU棱镜阵列</x:v>
      </x:c>
      <x:c r="C77" s="231" t="n">
        <x:f>IF(SUM('规格明细'!G125,'规格明细'!G126)=0,0,SUM('规格明细'!K125,'规格明细'!K126)*100000000/SUM('规格明细'!G125,'规格明细'!G126))</x:f>
        <x:v>9.12384</x:v>
      </x:c>
      <x:c r="D77" s="216" t="n">
        <x:f>SUM('规格明细'!G125,'规格明细'!G126)</x:f>
        <x:v>2488320000</x:v>
      </x:c>
      <x:c r="E77" s="177" t="str">
        <x:v>通道</x:v>
      </x:c>
      <x:c r="F77" s="178" t="n">
        <x:f>SUM('规格明细'!K125,'规格明细'!K126)</x:f>
        <x:v>227.030335488</x:v>
      </x:c>
      <x:c r="G77" s="190" t="n">
        <x:f>'机会输入'!I24</x:f>
        <x:v>0.45</x:v>
      </x:c>
      <x:c r="H77" s="178" t="n">
        <x:f>SUM('规格明细'!L125,'规格明细'!L126)</x:f>
        <x:v>102.1636509696</x:v>
      </x:c>
      <x:c r="I77" s="184"/>
    </x:row>
    <x:row r="78">
      <x:c r="A78" s="177" t="str">
        <x:v>2030E</x:v>
      </x:c>
      <x:c r="B78" s="177" t="str">
        <x:v>ELS透镜＋热沉</x:v>
      </x:c>
      <x:c r="C78" s="231" t="n">
        <x:f>IF(SUM('规格明细'!G127,'规格明细'!G128)=0,0,SUM('规格明细'!K127,'规格明细'!K128)*100000000/SUM('规格明细'!G127,'规格明细'!G128))</x:f>
        <x:v>44.78976</x:v>
      </x:c>
      <x:c r="D78" s="216" t="n">
        <x:f>SUM('规格明细'!G127,'规格明细'!G128)</x:f>
        <x:v>153600000</x:v>
      </x:c>
      <x:c r="E78" s="177" t="str">
        <x:v>套光源配套</x:v>
      </x:c>
      <x:c r="F78" s="178" t="n">
        <x:f>SUM('规格明细'!K127,'规格明细'!K128)</x:f>
        <x:v>68.79707136</x:v>
      </x:c>
      <x:c r="G78" s="190" t="n">
        <x:f>IF(SUM('规格明细'!K127,'规格明细'!K128)=0,0,SUM('规格明细'!L127,'规格明细'!L128)/SUM('规格明细'!K127,'规格明细'!K128))</x:f>
        <x:v>0.44166666666666665</x:v>
      </x:c>
      <x:c r="H78" s="178" t="n">
        <x:f>SUM('规格明细'!L127,'规格明细'!L128)</x:f>
        <x:v>30.385373184000002</x:v>
      </x:c>
      <x:c r="I78" s="184"/>
    </x:row>
    <x:row r="79">
      <x:c r="A79" s="177" t="str">
        <x:v>2030E</x:v>
      </x:c>
      <x:c r="B79" s="177" t="str">
        <x:v>FAU量测设备</x:v>
      </x:c>
      <x:c r="C79" s="231" t="n">
        <x:f>IF(SUM('规格明细'!G129,'规格明细'!G130)=0,0,SUM('规格明细'!K129,'规格明细'!K130)*100000000/SUM('规格明细'!G129,'规格明细'!G130))</x:f>
        <x:v>76800</x:v>
      </x:c>
      <x:c r="D79" s="216" t="n">
        <x:f>SUM('规格明细'!G129,'规格明细'!G130)</x:f>
        <x:v>38400</x:v>
      </x:c>
      <x:c r="E79" s="177" t="str">
        <x:v>台设备</x:v>
      </x:c>
      <x:c r="F79" s="178" t="n">
        <x:f>SUM('规格明细'!K129,'规格明细'!K130)</x:f>
        <x:v>29.4912</x:v>
      </x:c>
      <x:c r="G79" s="190" t="n">
        <x:f>IF(SUM('规格明细'!K129,'规格明细'!K130)=0,0,SUM('规格明细'!L129,'规格明细'!L130)/SUM('规格明细'!K129,'规格明细'!K130))</x:f>
        <x:v>0.5916666666666668</x:v>
      </x:c>
      <x:c r="H79" s="178" t="n">
        <x:f>SUM('规格明细'!L129,'规格明细'!L130)</x:f>
        <x:v>17.448960000000003</x:v>
      </x:c>
      <x:c r="I79" s="184"/>
    </x:row>
    <x:row r="80">
      <x:c r="A80" s="184"/>
      <x:c r="B80" s="184"/>
      <x:c r="C80" s="184"/>
      <x:c r="D80" s="184"/>
      <x:c r="E80" s="184"/>
      <x:c r="F80" s="184"/>
      <x:c r="G80" s="184"/>
      <x:c r="H80" s="184"/>
      <x:c r="I80" s="184"/>
    </x:row>
    <x:row r="81">
      <x:c r="A81" s="184"/>
      <x:c r="B81" s="184"/>
      <x:c r="C81" s="184"/>
      <x:c r="D81" s="184"/>
      <x:c r="E81" s="184"/>
      <x:c r="F81" s="184"/>
      <x:c r="G81" s="184"/>
      <x:c r="H81" s="184"/>
      <x:c r="I81" s="184"/>
    </x:row>
    <x:row r="82">
      <x:c r="A82" s="176" t="str">
        <x:v>乐观情形</x:v>
      </x:c>
      <x:c r="B82" s="176"/>
      <x:c r="C82" s="176"/>
      <x:c r="D82" s="176"/>
      <x:c r="E82" s="176"/>
      <x:c r="F82" s="176"/>
      <x:c r="G82" s="176"/>
      <x:c r="H82" s="176"/>
      <x:c r="I82" s="184"/>
    </x:row>
    <x:row r="83">
      <x:c r="A83" s="176" t="str">
        <x:v>年度</x:v>
      </x:c>
      <x:c r="B83" s="176" t="str">
        <x:v>产品线</x:v>
      </x:c>
      <x:c r="C83" s="176" t="str">
        <x:v>有效单价（元/单位）</x:v>
      </x:c>
      <x:c r="D83" s="176" t="str">
        <x:v>组件数量（基本单位）</x:v>
      </x:c>
      <x:c r="E83" s="176" t="str">
        <x:v>组件单位</x:v>
      </x:c>
      <x:c r="F83" s="176" t="str">
        <x:v>空间（亿元）</x:v>
      </x:c>
      <x:c r="G83" s="176" t="str">
        <x:v>公司份额</x:v>
      </x:c>
      <x:c r="H83" s="176" t="str">
        <x:v>理论收入（亿元）</x:v>
      </x:c>
      <x:c r="I83" s="184"/>
    </x:row>
    <x:row r="84">
      <x:c r="A84" s="177" t="str">
        <x:v>2026E</x:v>
      </x:c>
      <x:c r="B84" s="177" t="str">
        <x:v>800G可插拔透镜</x:v>
      </x:c>
      <x:c r="C84" s="231" t="n">
        <x:f>IF(SUM('规格明细'!G136)=0,0,SUM('规格明细'!K136)*100000000/SUM('规格明细'!G136))</x:f>
        <x:v>4.4</x:v>
      </x:c>
      <x:c r="D84" s="216" t="n">
        <x:f>SUM('规格明细'!G136)</x:f>
        <x:v>560000000</x:v>
      </x:c>
      <x:c r="E84" s="177" t="str">
        <x:v>只透镜</x:v>
      </x:c>
      <x:c r="F84" s="178" t="n">
        <x:f>SUM('规格明细'!K136)</x:f>
        <x:v>24.64</x:v>
      </x:c>
      <x:c r="G84" s="190" t="n">
        <x:f>IF(SUM('规格明细'!K136)=0,0,SUM('规格明细'!L136)/SUM('规格明细'!K136))</x:f>
        <x:v>0.045</x:v>
      </x:c>
      <x:c r="H84" s="178" t="n">
        <x:f>SUM('规格明细'!L136)</x:f>
        <x:v>1.1088</x:v>
      </x:c>
      <x:c r="I84" s="184"/>
    </x:row>
    <x:row r="85">
      <x:c r="A85" s="177" t="str">
        <x:v>2026E</x:v>
      </x:c>
      <x:c r="B85" s="177" t="str">
        <x:v>1.6T可插拔透镜</x:v>
      </x:c>
      <x:c r="C85" s="231" t="n">
        <x:f>IF(SUM('规格明细'!G137)=0,0,SUM('规格明细'!K137)*100000000/SUM('规格明细'!G137))</x:f>
        <x:v>6.16</x:v>
      </x:c>
      <x:c r="D85" s="216" t="n">
        <x:f>SUM('规格明细'!G137)</x:f>
        <x:v>188000000</x:v>
      </x:c>
      <x:c r="E85" s="177" t="str">
        <x:v>只透镜</x:v>
      </x:c>
      <x:c r="F85" s="178" t="n">
        <x:f>SUM('规格明细'!K137)</x:f>
        <x:v>11.5808</x:v>
      </x:c>
      <x:c r="G85" s="190" t="n">
        <x:f>IF(SUM('规格明细'!K137)=0,0,SUM('规格明细'!L137)/SUM('规格明细'!K137))</x:f>
        <x:v>0.04499999999999999</x:v>
      </x:c>
      <x:c r="H85" s="178" t="n">
        <x:f>SUM('规格明细'!L137)</x:f>
        <x:v>0.5211359999999999</x:v>
      </x:c>
      <x:c r="I85" s="184"/>
    </x:row>
    <x:row r="86">
      <x:c r="A86" s="177" t="str">
        <x:v>2026E</x:v>
      </x:c>
      <x:c r="B86" s="177" t="str">
        <x:v>OCS NxN透镜阵列</x:v>
      </x:c>
      <x:c r="C86" s="231" t="n">
        <x:f>IF(SUM('规格明细'!G138,'规格明细'!G139)=0,0,SUM('规格明细'!K138,'规格明细'!K139)*100000000/SUM('规格明细'!G138,'规格明细'!G139))</x:f>
        <x:v>36.36363636363637</x:v>
      </x:c>
      <x:c r="D86" s="216" t="n">
        <x:f>SUM('规格明细'!G138,'规格明细'!G139)</x:f>
        <x:v>7040000</x:v>
      </x:c>
      <x:c r="E86" s="177" t="str">
        <x:v>总光通道</x:v>
      </x:c>
      <x:c r="F86" s="178" t="n">
        <x:f>SUM('规格明细'!K138,'规格明细'!K139)</x:f>
        <x:v>2.56</x:v>
      </x:c>
      <x:c r="G86" s="190" t="n">
        <x:f>IF(SUM('规格明细'!K138,'规格明细'!K139)=0,0,SUM('规格明细'!L138,'规格明细'!L139)/SUM('规格明细'!K138,'规格明细'!K139))</x:f>
        <x:v>1</x:v>
      </x:c>
      <x:c r="H86" s="178" t="n">
        <x:f>SUM('规格明细'!L138,'规格明细'!L139)</x:f>
        <x:v>2.56</x:v>
      </x:c>
      <x:c r="I86" s="184"/>
    </x:row>
    <x:row r="87">
      <x:c r="A87" s="177" t="str">
        <x:v>2026E</x:v>
      </x:c>
      <x:c r="B87" s="177" t="str">
        <x:v>FAU V型槽</x:v>
      </x:c>
      <x:c r="C87" s="231" t="n">
        <x:f>IF(SUM('规格明细'!G140,'规格明细'!G141)=0,0,SUM('规格明细'!K140,'规格明细'!K141)*100000000/SUM('规格明细'!G140,'规格明细'!G141))</x:f>
        <x:v>9.856</x:v>
      </x:c>
      <x:c r="D87" s="216" t="n">
        <x:f>SUM('规格明细'!G140,'规格明细'!G141)</x:f>
        <x:v>23040000</x:v>
      </x:c>
      <x:c r="E87" s="177" t="str">
        <x:v>通道</x:v>
      </x:c>
      <x:c r="F87" s="178" t="n">
        <x:f>SUM('规格明细'!K140,'规格明细'!K141)</x:f>
        <x:v>2.2708224</x:v>
      </x:c>
      <x:c r="G87" s="190" t="n">
        <x:f>IF(SUM('规格明细'!K140,'规格明细'!K141)=0,0,SUM('规格明细'!L140,'规格明细'!L141)/SUM('规格明细'!K140,'规格明细'!K141))</x:f>
        <x:v>0.50625</x:v>
      </x:c>
      <x:c r="H87" s="178" t="n">
        <x:f>SUM('规格明细'!L140,'规格明细'!L141)</x:f>
        <x:v>1.14960384</x:v>
      </x:c>
      <x:c r="I87" s="184"/>
    </x:row>
    <x:row r="88">
      <x:c r="A88" s="177" t="str">
        <x:v>2026E</x:v>
      </x:c>
      <x:c r="B88" s="177" t="str">
        <x:v>FAU棱镜阵列</x:v>
      </x:c>
      <x:c r="C88" s="231" t="n">
        <x:f>IF(SUM('规格明细'!G142,'规格明细'!G143)=0,0,SUM('规格明细'!K142,'规格明细'!K143)*100000000/SUM('规格明细'!G142,'规格明细'!G143))</x:f>
        <x:v>14.080000000000002</x:v>
      </x:c>
      <x:c r="D88" s="216" t="n">
        <x:f>SUM('规格明细'!G142,'规格明细'!G143)</x:f>
        <x:v>23040000</x:v>
      </x:c>
      <x:c r="E88" s="177" t="str">
        <x:v>通道</x:v>
      </x:c>
      <x:c r="F88" s="178" t="n">
        <x:f>SUM('规格明细'!K142,'规格明细'!K143)</x:f>
        <x:v>3.2440320000000007</x:v>
      </x:c>
      <x:c r="G88" s="190" t="n">
        <x:f>'机会输入'!E24</x:f>
        <x:v>0.45</x:v>
      </x:c>
      <x:c r="H88" s="178" t="n">
        <x:f>SUM('规格明细'!L142,'规格明细'!L143)</x:f>
        <x:v>1.4598144000000004</x:v>
      </x:c>
      <x:c r="I88" s="184"/>
    </x:row>
    <x:row r="89">
      <x:c r="A89" s="177" t="str">
        <x:v>2026E</x:v>
      </x:c>
      <x:c r="B89" s="177" t="str">
        <x:v>ELS透镜＋热沉</x:v>
      </x:c>
      <x:c r="C89" s="231" t="n">
        <x:f>IF(SUM('规格明细'!G144,'规格明细'!G145)=0,0,SUM('规格明细'!K144,'规格明细'!K145)*100000000/SUM('规格明细'!G144,'规格明细'!G145))</x:f>
        <x:v>70.4</x:v>
      </x:c>
      <x:c r="D89" s="216" t="n">
        <x:f>SUM('规格明细'!G144,'规格明细'!G145)</x:f>
        <x:v>2560000</x:v>
      </x:c>
      <x:c r="E89" s="177" t="str">
        <x:v>套光源配套</x:v>
      </x:c>
      <x:c r="F89" s="178" t="n">
        <x:f>SUM('规格明细'!K144,'规格明细'!K145)</x:f>
        <x:v>1.80224</x:v>
      </x:c>
      <x:c r="G89" s="190" t="n">
        <x:f>IF(SUM('规格明细'!K144,'规格明细'!K145)=0,0,SUM('规格明细'!L144,'规格明细'!L145)/SUM('规格明细'!K144,'规格明细'!K145))</x:f>
        <x:v>0.50625</x:v>
      </x:c>
      <x:c r="H89" s="178" t="n">
        <x:f>SUM('规格明细'!L144,'规格明细'!L145)</x:f>
        <x:v>0.912384</x:v>
      </x:c>
      <x:c r="I89" s="184"/>
    </x:row>
    <x:row r="90">
      <x:c r="A90" s="177" t="str">
        <x:v>2026E</x:v>
      </x:c>
      <x:c r="B90" s="177" t="str">
        <x:v>FAU量测设备</x:v>
      </x:c>
      <x:c r="C90" s="231" t="n">
        <x:f>IF(SUM('规格明细'!G146,'规格明细'!G147)=0,0,SUM('规格明细'!K146,'规格明细'!K147)*100000000/SUM('规格明细'!G146,'规格明细'!G147))</x:f>
        <x:v>70400</x:v>
      </x:c>
      <x:c r="D90" s="216" t="n">
        <x:f>SUM('规格明细'!G146,'规格明细'!G147)</x:f>
        <x:v>640</x:v>
      </x:c>
      <x:c r="E90" s="177" t="str">
        <x:v>台设备</x:v>
      </x:c>
      <x:c r="F90" s="178" t="n">
        <x:f>SUM('规格明细'!K146,'规格明细'!K147)</x:f>
        <x:v>0.45056</x:v>
      </x:c>
      <x:c r="G90" s="190" t="n">
        <x:f>IF(SUM('规格明细'!K146,'规格明细'!K147)=0,0,SUM('规格明细'!L146,'规格明细'!L147)/SUM('规格明细'!K146,'规格明细'!K147))</x:f>
        <x:v>0.1125</x:v>
      </x:c>
      <x:c r="H90" s="178" t="n">
        <x:f>SUM('规格明细'!L146,'规格明细'!L147)</x:f>
        <x:v>0.050688000000000004</x:v>
      </x:c>
      <x:c r="I90" s="184"/>
    </x:row>
    <x:row r="91">
      <x:c r="A91" s="177" t="str">
        <x:v>2027E</x:v>
      </x:c>
      <x:c r="B91" s="177" t="str">
        <x:v>800G可插拔透镜</x:v>
      </x:c>
      <x:c r="C91" s="231" t="n">
        <x:f>IF(SUM('规格明细'!G148)=0,0,SUM('规格明细'!K148)*100000000/SUM('规格明细'!G148))</x:f>
        <x:v>3.960000000000001</x:v>
      </x:c>
      <x:c r="D91" s="216" t="n">
        <x:f>SUM('规格明细'!G148)</x:f>
        <x:v>725000000</x:v>
      </x:c>
      <x:c r="E91" s="177" t="str">
        <x:v>只透镜</x:v>
      </x:c>
      <x:c r="F91" s="178" t="n">
        <x:f>SUM('规格明细'!K148)</x:f>
        <x:v>28.710000000000004</x:v>
      </x:c>
      <x:c r="G91" s="190" t="n">
        <x:f>IF(SUM('规格明细'!K148)=0,0,SUM('规格明细'!L148)/SUM('规格明细'!K148))</x:f>
        <x:v>0.1</x:v>
      </x:c>
      <x:c r="H91" s="178" t="n">
        <x:f>SUM('规格明细'!L148)</x:f>
        <x:v>2.8710000000000004</x:v>
      </x:c>
      <x:c r="I91" s="184"/>
    </x:row>
    <x:row r="92">
      <x:c r="A92" s="177" t="str">
        <x:v>2027E</x:v>
      </x:c>
      <x:c r="B92" s="177" t="str">
        <x:v>1.6T可插拔透镜</x:v>
      </x:c>
      <x:c r="C92" s="231" t="n">
        <x:f>IF(SUM('规格明细'!G149)=0,0,SUM('规格明细'!K149)*100000000/SUM('规格明细'!G149))</x:f>
        <x:v>5.544000000000001</x:v>
      </x:c>
      <x:c r="D92" s="216" t="n">
        <x:f>SUM('规格明细'!G149)</x:f>
        <x:v>640000000</x:v>
      </x:c>
      <x:c r="E92" s="177" t="str">
        <x:v>只透镜</x:v>
      </x:c>
      <x:c r="F92" s="178" t="n">
        <x:f>SUM('规格明细'!K149)</x:f>
        <x:v>35.48160000000001</x:v>
      </x:c>
      <x:c r="G92" s="190" t="n">
        <x:f>IF(SUM('规格明细'!K149)=0,0,SUM('规格明细'!L149)/SUM('规格明细'!K149))</x:f>
        <x:v>0.1</x:v>
      </x:c>
      <x:c r="H92" s="178" t="n">
        <x:f>SUM('规格明细'!L149)</x:f>
        <x:v>3.548160000000001</x:v>
      </x:c>
      <x:c r="I92" s="184"/>
    </x:row>
    <x:row r="93">
      <x:c r="A93" s="177" t="str">
        <x:v>2027E</x:v>
      </x:c>
      <x:c r="B93" s="177" t="str">
        <x:v>OCS NxN透镜阵列</x:v>
      </x:c>
      <x:c r="C93" s="231" t="n">
        <x:f>IF(SUM('规格明细'!G150,'规格明细'!G151)=0,0,SUM('规格明细'!K150,'规格明细'!K151)*100000000/SUM('规格明细'!G150,'规格明细'!G151))</x:f>
        <x:v>32.5</x:v>
      </x:c>
      <x:c r="D93" s="216" t="n">
        <x:f>SUM('规格明细'!G150,'规格明细'!G151)</x:f>
        <x:v>40960000</x:v>
      </x:c>
      <x:c r="E93" s="177" t="str">
        <x:v>总光通道</x:v>
      </x:c>
      <x:c r="F93" s="178" t="n">
        <x:f>SUM('规格明细'!K150,'规格明细'!K151)</x:f>
        <x:v>13.312000000000001</x:v>
      </x:c>
      <x:c r="G93" s="190" t="n">
        <x:f>IF(SUM('规格明细'!K150,'规格明细'!K151)=0,0,SUM('规格明细'!L150,'规格明细'!L151)/SUM('规格明细'!K150,'规格明细'!K151))</x:f>
        <x:v>1</x:v>
      </x:c>
      <x:c r="H93" s="178" t="n">
        <x:f>SUM('规格明细'!L150,'规格明细'!L151)</x:f>
        <x:v>13.312000000000001</x:v>
      </x:c>
      <x:c r="I93" s="184"/>
    </x:row>
    <x:row r="94">
      <x:c r="A94" s="177" t="str">
        <x:v>2027E</x:v>
      </x:c>
      <x:c r="B94" s="177" t="str">
        <x:v>FAU V型槽</x:v>
      </x:c>
      <x:c r="C94" s="231" t="n">
        <x:f>IF(SUM('规格明细'!G152,'规格明细'!G153)=0,0,SUM('规格明细'!K152,'规格明细'!K153)*100000000/SUM('规格明细'!G152,'规格明细'!G153))</x:f>
        <x:v>7.884800000000002</x:v>
      </x:c>
      <x:c r="D94" s="216" t="n">
        <x:f>SUM('规格明细'!G152,'规格明细'!G153)</x:f>
        <x:v>230400000</x:v>
      </x:c>
      <x:c r="E94" s="177" t="str">
        <x:v>通道</x:v>
      </x:c>
      <x:c r="F94" s="178" t="n">
        <x:f>SUM('规格明细'!K152,'规格明细'!K153)</x:f>
        <x:v>18.166579200000005</x:v>
      </x:c>
      <x:c r="G94" s="190" t="n">
        <x:f>IF(SUM('规格明细'!K152,'规格明细'!K153)=0,0,SUM('规格明细'!L152,'规格明细'!L153)/SUM('规格明细'!K152,'规格明细'!K153))</x:f>
        <x:v>0.5555555555555556</x:v>
      </x:c>
      <x:c r="H94" s="178" t="n">
        <x:f>SUM('规格明细'!L152,'规格明细'!L153)</x:f>
        <x:v>10.092544000000004</x:v>
      </x:c>
      <x:c r="I94" s="184"/>
    </x:row>
    <x:row r="95">
      <x:c r="A95" s="177" t="str">
        <x:v>2027E</x:v>
      </x:c>
      <x:c r="B95" s="177" t="str">
        <x:v>FAU棱镜阵列</x:v>
      </x:c>
      <x:c r="C95" s="231" t="n">
        <x:f>IF(SUM('规格明细'!G154,'规格明细'!G155)=0,0,SUM('规格明细'!K154,'规格明细'!K155)*100000000/SUM('规格明细'!G154,'规格明细'!G155))</x:f>
        <x:v>11.264000000000003</x:v>
      </x:c>
      <x:c r="D95" s="216" t="n">
        <x:f>SUM('规格明细'!G154,'规格明细'!G155)</x:f>
        <x:v>230400000</x:v>
      </x:c>
      <x:c r="E95" s="177" t="str">
        <x:v>通道</x:v>
      </x:c>
      <x:c r="F95" s="178" t="n">
        <x:f>SUM('规格明细'!K154,'规格明细'!K155)</x:f>
        <x:v>25.952256000000006</x:v>
      </x:c>
      <x:c r="G95" s="190" t="n">
        <x:f>'机会输入'!F24</x:f>
        <x:v>0.45</x:v>
      </x:c>
      <x:c r="H95" s="178" t="n">
        <x:f>SUM('规格明细'!L154,'规格明细'!L155)</x:f>
        <x:v>11.678515200000003</x:v>
      </x:c>
      <x:c r="I95" s="184"/>
    </x:row>
    <x:row r="96">
      <x:c r="A96" s="177" t="str">
        <x:v>2027E</x:v>
      </x:c>
      <x:c r="B96" s="177" t="str">
        <x:v>ELS透镜＋热沉</x:v>
      </x:c>
      <x:c r="C96" s="231" t="n">
        <x:f>IF(SUM('规格明细'!G156,'规格明细'!G157)=0,0,SUM('规格明细'!K156,'规格明细'!K157)*100000000/SUM('规格明细'!G156,'规格明细'!G157))</x:f>
        <x:v>56.32000000000001</x:v>
      </x:c>
      <x:c r="D96" s="216" t="n">
        <x:f>SUM('规格明细'!G156,'规格明细'!G157)</x:f>
        <x:v>25600000</x:v>
      </x:c>
      <x:c r="E96" s="177" t="str">
        <x:v>套光源配套</x:v>
      </x:c>
      <x:c r="F96" s="178" t="n">
        <x:f>SUM('规格明细'!K156,'规格明细'!K157)</x:f>
        <x:v>14.417920000000002</x:v>
      </x:c>
      <x:c r="G96" s="190" t="n">
        <x:f>IF(SUM('规格明细'!K156,'规格明细'!K157)=0,0,SUM('规格明细'!L156,'规格明细'!L157)/SUM('规格明细'!K156,'规格明细'!K157))</x:f>
        <x:v>0.5</x:v>
      </x:c>
      <x:c r="H96" s="178" t="n">
        <x:f>SUM('规格明细'!L156,'规格明细'!L157)</x:f>
        <x:v>7.208960000000001</x:v>
      </x:c>
      <x:c r="I96" s="184"/>
    </x:row>
    <x:row r="97">
      <x:c r="A97" s="177" t="str">
        <x:v>2027E</x:v>
      </x:c>
      <x:c r="B97" s="177" t="str">
        <x:v>FAU量测设备</x:v>
      </x:c>
      <x:c r="C97" s="231" t="n">
        <x:f>IF(SUM('规格明细'!G158,'规格明细'!G159)=0,0,SUM('规格明细'!K158,'规格明细'!K159)*100000000/SUM('规格明细'!G158,'规格明细'!G159))</x:f>
        <x:v>70400</x:v>
      </x:c>
      <x:c r="D97" s="216" t="n">
        <x:f>SUM('规格明细'!G158,'规格明细'!G159)</x:f>
        <x:v>6400</x:v>
      </x:c>
      <x:c r="E97" s="177" t="str">
        <x:v>台设备</x:v>
      </x:c>
      <x:c r="F97" s="178" t="n">
        <x:f>SUM('规格明细'!K158,'规格明细'!K159)</x:f>
        <x:v>4.5056</x:v>
      </x:c>
      <x:c r="G97" s="190" t="n">
        <x:f>IF(SUM('规格明细'!K158,'规格明细'!K159)=0,0,SUM('规格明细'!L158,'规格明细'!L159)/SUM('规格明细'!K158,'规格明细'!K159))</x:f>
        <x:v>0.3333333333333333</x:v>
      </x:c>
      <x:c r="H97" s="178" t="n">
        <x:f>SUM('规格明细'!L158,'规格明细'!L159)</x:f>
        <x:v>1.5018666666666667</x:v>
      </x:c>
      <x:c r="I97" s="184"/>
    </x:row>
    <x:row r="98">
      <x:c r="A98" s="177" t="str">
        <x:v>2028E</x:v>
      </x:c>
      <x:c r="B98" s="177" t="str">
        <x:v>800G可插拔透镜</x:v>
      </x:c>
      <x:c r="C98" s="231" t="n">
        <x:f>IF(SUM('规格明细'!G160)=0,0,SUM('规格明细'!K160)*100000000/SUM('规格明细'!G160))</x:f>
        <x:v>3.564000000000001</x:v>
      </x:c>
      <x:c r="D98" s="216" t="n">
        <x:f>SUM('规格明细'!G160)</x:f>
        <x:v>500000000</x:v>
      </x:c>
      <x:c r="E98" s="177" t="str">
        <x:v>只透镜</x:v>
      </x:c>
      <x:c r="F98" s="178" t="n">
        <x:f>SUM('规格明细'!K160)</x:f>
        <x:v>17.820000000000004</x:v>
      </x:c>
      <x:c r="G98" s="190" t="n">
        <x:f>IF(SUM('规格明细'!K160)=0,0,SUM('规格明细'!L160)/SUM('规格明细'!K160))</x:f>
        <x:v>0.11000000000000001</x:v>
      </x:c>
      <x:c r="H98" s="178" t="n">
        <x:f>SUM('规格明细'!L160)</x:f>
        <x:v>1.9602000000000006</x:v>
      </x:c>
      <x:c r="I98" s="184"/>
    </x:row>
    <x:row r="99">
      <x:c r="A99" s="177" t="str">
        <x:v>2028E</x:v>
      </x:c>
      <x:c r="B99" s="177" t="str">
        <x:v>1.6T可插拔透镜</x:v>
      </x:c>
      <x:c r="C99" s="231" t="n">
        <x:f>IF(SUM('规格明细'!G161)=0,0,SUM('规格明细'!K161)*100000000/SUM('规格明细'!G161))</x:f>
        <x:v>4.9896</x:v>
      </x:c>
      <x:c r="D99" s="216" t="n">
        <x:f>SUM('规格明细'!G161)</x:f>
        <x:v>1050000000</x:v>
      </x:c>
      <x:c r="E99" s="177" t="str">
        <x:v>只透镜</x:v>
      </x:c>
      <x:c r="F99" s="178" t="n">
        <x:f>SUM('规格明细'!K161)</x:f>
        <x:v>52.3908</x:v>
      </x:c>
      <x:c r="G99" s="190" t="n">
        <x:f>IF(SUM('规格明细'!K161)=0,0,SUM('规格明细'!L161)/SUM('规格明细'!K161))</x:f>
        <x:v>0.11000000000000001</x:v>
      </x:c>
      <x:c r="H99" s="178" t="n">
        <x:f>SUM('规格明细'!L161)</x:f>
        <x:v>5.762988000000001</x:v>
      </x:c>
      <x:c r="I99" s="184"/>
    </x:row>
    <x:row r="100">
      <x:c r="A100" s="177" t="str">
        <x:v>2028E</x:v>
      </x:c>
      <x:c r="B100" s="177" t="str">
        <x:v>OCS NxN透镜阵列</x:v>
      </x:c>
      <x:c r="C100" s="231" t="n">
        <x:f>IF(SUM('规格明细'!G162,'规格明细'!G163)=0,0,SUM('规格明细'!K162,'规格明细'!K163)*100000000/SUM('规格明细'!G162,'规格明细'!G163))</x:f>
        <x:v>31.561643835616437</x:v>
      </x:c>
      <x:c r="D100" s="216" t="n">
        <x:f>SUM('规格明细'!G162,'规格明细'!G163)</x:f>
        <x:v>93440000</x:v>
      </x:c>
      <x:c r="E100" s="177" t="str">
        <x:v>总光通道</x:v>
      </x:c>
      <x:c r="F100" s="178" t="n">
        <x:f>SUM('规格明细'!K162,'规格明细'!K163)</x:f>
        <x:v>29.4912</x:v>
      </x:c>
      <x:c r="G100" s="190" t="n">
        <x:f>IF(SUM('规格明细'!K162,'规格明细'!K163)=0,0,SUM('规格明细'!L162,'规格明细'!L163)/SUM('规格明细'!K162,'规格明细'!K163))</x:f>
        <x:v>0.9272656250000003</x:v>
      </x:c>
      <x:c r="H100" s="178" t="n">
        <x:f>SUM('规格明细'!L162,'规格明细'!L163)</x:f>
        <x:v>27.346176000000007</x:v>
      </x:c>
      <x:c r="I100" s="184"/>
    </x:row>
    <x:row r="101">
      <x:c r="A101" s="177" t="str">
        <x:v>2028E</x:v>
      </x:c>
      <x:c r="B101" s="177" t="str">
        <x:v>FAU V型槽</x:v>
      </x:c>
      <x:c r="C101" s="231" t="n">
        <x:f>IF(SUM('规格明细'!G164,'规格明细'!G165)=0,0,SUM('规格明细'!K164,'规格明细'!K165)*100000000/SUM('规格明细'!G164,'规格明细'!G165))</x:f>
        <x:v>8.110080000000002</x:v>
      </x:c>
      <x:c r="D101" s="216" t="n">
        <x:f>SUM('规格明细'!G164,'规格明细'!G165)</x:f>
        <x:v>806400000</x:v>
      </x:c>
      <x:c r="E101" s="177" t="str">
        <x:v>通道</x:v>
      </x:c>
      <x:c r="F101" s="178" t="n">
        <x:f>SUM('规格明细'!K164,'规格明细'!K165)</x:f>
        <x:v>65.39968512000002</x:v>
      </x:c>
      <x:c r="G101" s="190" t="n">
        <x:f>IF(SUM('规格明细'!K164,'规格明细'!K165)=0,0,SUM('规格明细'!L164,'规格明细'!L165)/SUM('规格明细'!K164,'规格明细'!K165))</x:f>
        <x:v>0.639375</x:v>
      </x:c>
      <x:c r="H101" s="178" t="n">
        <x:f>SUM('规格明细'!L164,'规格明细'!L165)</x:f>
        <x:v>41.81492367360001</x:v>
      </x:c>
      <x:c r="I101" s="184"/>
    </x:row>
    <x:row r="102">
      <x:c r="A102" s="177" t="str">
        <x:v>2028E</x:v>
      </x:c>
      <x:c r="B102" s="177" t="str">
        <x:v>FAU棱镜阵列</x:v>
      </x:c>
      <x:c r="C102" s="231" t="n">
        <x:f>IF(SUM('规格明细'!G166,'规格明细'!G167)=0,0,SUM('规格明细'!K166,'规格明细'!K167)*100000000/SUM('规格明细'!G166,'规格明细'!G167))</x:f>
        <x:v>11.585828571428571</x:v>
      </x:c>
      <x:c r="D102" s="216" t="n">
        <x:f>SUM('规格明细'!G166,'规格明细'!G167)</x:f>
        <x:v>806400000</x:v>
      </x:c>
      <x:c r="E102" s="177" t="str">
        <x:v>通道</x:v>
      </x:c>
      <x:c r="F102" s="178" t="n">
        <x:f>SUM('规格明细'!K166,'规格明细'!K167)</x:f>
        <x:v>93.4281216</x:v>
      </x:c>
      <x:c r="G102" s="190" t="n">
        <x:f>'机会输入'!G24</x:f>
        <x:v>0.45</x:v>
      </x:c>
      <x:c r="H102" s="178" t="n">
        <x:f>SUM('规格明细'!L166,'规格明细'!L167)</x:f>
        <x:v>42.04265472</x:v>
      </x:c>
      <x:c r="I102" s="184"/>
    </x:row>
    <x:row r="103">
      <x:c r="A103" s="177" t="str">
        <x:v>2028E</x:v>
      </x:c>
      <x:c r="B103" s="177" t="str">
        <x:v>ELS透镜＋热沉</x:v>
      </x:c>
      <x:c r="C103" s="231" t="n">
        <x:f>IF(SUM('规格明细'!G168,'规格明细'!G169)=0,0,SUM('规格明细'!K168,'规格明细'!K169)*100000000/SUM('规格明细'!G168,'规格明细'!G169))</x:f>
        <x:v>55.756800000000005</x:v>
      </x:c>
      <x:c r="D103" s="216" t="n">
        <x:f>SUM('规格明细'!G168,'规格明细'!G169)</x:f>
        <x:v>64000000</x:v>
      </x:c>
      <x:c r="E103" s="177" t="str">
        <x:v>套光源配套</x:v>
      </x:c>
      <x:c r="F103" s="178" t="n">
        <x:f>SUM('规格明细'!K168,'规格明细'!K169)</x:f>
        <x:v>35.684352000000004</x:v>
      </x:c>
      <x:c r="G103" s="190" t="n">
        <x:f>IF(SUM('规格明细'!K168,'规格明细'!K169)=0,0,SUM('规格明细'!L168,'规格明细'!L169)/SUM('规格明细'!K168,'规格明细'!K169))</x:f>
        <x:v>0.5016666666666667</x:v>
      </x:c>
      <x:c r="H103" s="178" t="n">
        <x:f>SUM('规格明细'!L168,'规格明细'!L169)</x:f>
        <x:v>17.901649920000004</x:v>
      </x:c>
      <x:c r="I103" s="184"/>
    </x:row>
    <x:row r="104">
      <x:c r="A104" s="177" t="str">
        <x:v>2028E</x:v>
      </x:c>
      <x:c r="B104" s="177" t="str">
        <x:v>FAU量测设备</x:v>
      </x:c>
      <x:c r="C104" s="231" t="n">
        <x:f>IF(SUM('规格明细'!G170,'规格明细'!G171)=0,0,SUM('规格明细'!K170,'规格明细'!K171)*100000000/SUM('规格明细'!G170,'规格明细'!G171))</x:f>
        <x:v>77440</x:v>
      </x:c>
      <x:c r="D104" s="216" t="n">
        <x:f>SUM('规格明细'!G170,'规格明细'!G171)</x:f>
        <x:v>16000</x:v>
      </x:c>
      <x:c r="E104" s="177" t="str">
        <x:v>台设备</x:v>
      </x:c>
      <x:c r="F104" s="178" t="n">
        <x:f>SUM('规格明细'!K170,'规格明细'!K171)</x:f>
        <x:v>12.3904</x:v>
      </x:c>
      <x:c r="G104" s="190" t="n">
        <x:f>IF(SUM('规格明细'!K170,'规格明细'!K171)=0,0,SUM('规格明细'!L170,'规格明细'!L171)/SUM('规格明细'!K170,'规格明细'!K171))</x:f>
        <x:v>0.5200000000000001</x:v>
      </x:c>
      <x:c r="H104" s="178" t="n">
        <x:f>SUM('规格明细'!L170,'规格明细'!L171)</x:f>
        <x:v>6.443008000000001</x:v>
      </x:c>
      <x:c r="I104" s="184"/>
    </x:row>
    <x:row r="105">
      <x:c r="A105" s="177" t="str">
        <x:v>2029E</x:v>
      </x:c>
      <x:c r="B105" s="177" t="str">
        <x:v>800G可插拔透镜</x:v>
      </x:c>
      <x:c r="C105" s="231" t="n">
        <x:f>IF(SUM('规格明细'!G172)=0,0,SUM('规格明细'!K172)*100000000/SUM('规格明细'!G172))</x:f>
        <x:v>3.2076000000000002</x:v>
      </x:c>
      <x:c r="D105" s="216" t="n">
        <x:f>SUM('规格明细'!G172)</x:f>
        <x:v>320000000</x:v>
      </x:c>
      <x:c r="E105" s="177" t="str">
        <x:v>只透镜</x:v>
      </x:c>
      <x:c r="F105" s="178" t="n">
        <x:f>SUM('规格明细'!K172)</x:f>
        <x:v>10.264320000000001</x:v>
      </x:c>
      <x:c r="G105" s="190" t="n">
        <x:f>IF(SUM('规格明细'!K172)=0,0,SUM('规格明细'!L172)/SUM('规格明细'!K172))</x:f>
        <x:v>0.11000000000000003</x:v>
      </x:c>
      <x:c r="H105" s="178" t="n">
        <x:f>SUM('规格明细'!L172)</x:f>
        <x:v>1.1290752000000004</x:v>
      </x:c>
      <x:c r="I105" s="184"/>
    </x:row>
    <x:row r="106">
      <x:c r="A106" s="177" t="str">
        <x:v>2029E</x:v>
      </x:c>
      <x:c r="B106" s="177" t="str">
        <x:v>1.6T可插拔透镜</x:v>
      </x:c>
      <x:c r="C106" s="231" t="n">
        <x:f>IF(SUM('规格明细'!G173)=0,0,SUM('规格明细'!K173)*100000000/SUM('规格明细'!G173))</x:f>
        <x:v>4.490639999999999</x:v>
      </x:c>
      <x:c r="D106" s="216" t="n">
        <x:f>SUM('规格明细'!G173)</x:f>
        <x:v>1450000000</x:v>
      </x:c>
      <x:c r="E106" s="177" t="str">
        <x:v>只透镜</x:v>
      </x:c>
      <x:c r="F106" s="178" t="n">
        <x:f>SUM('规格明细'!K173)</x:f>
        <x:v>65.11428</x:v>
      </x:c>
      <x:c r="G106" s="190" t="n">
        <x:f>IF(SUM('规格明细'!K173)=0,0,SUM('规格明细'!L173)/SUM('规格明细'!K173))</x:f>
        <x:v>0.11000000000000001</x:v>
      </x:c>
      <x:c r="H106" s="178" t="n">
        <x:f>SUM('规格明细'!L173)</x:f>
        <x:v>7.1625708</x:v>
      </x:c>
      <x:c r="I106" s="184"/>
    </x:row>
    <x:row r="107">
      <x:c r="A107" s="177" t="str">
        <x:v>2029E</x:v>
      </x:c>
      <x:c r="B107" s="177" t="str">
        <x:v>OCS NxN透镜阵列</x:v>
      </x:c>
      <x:c r="C107" s="231" t="n">
        <x:f>IF(SUM('规格明细'!G174,'规格明细'!G175)=0,0,SUM('规格明细'!K174,'规格明细'!K175)*100000000/SUM('规格明细'!G174,'规格明细'!G175))</x:f>
        <x:v>29.529113924050634</x:v>
      </x:c>
      <x:c r="D107" s="216" t="n">
        <x:f>SUM('规格明细'!G174,'规格明细'!G175)</x:f>
        <x:v>161792000</x:v>
      </x:c>
      <x:c r="E107" s="177" t="str">
        <x:v>总光通道</x:v>
      </x:c>
      <x:c r="F107" s="178" t="n">
        <x:f>SUM('规格明细'!K174,'规格明细'!K175)</x:f>
        <x:v>47.775743999999996</x:v>
      </x:c>
      <x:c r="G107" s="190" t="n">
        <x:f>IF(SUM('规格明细'!K174,'规格明细'!K175)=0,0,SUM('规格明细'!L174,'规格明细'!L175)/SUM('规格明细'!K174,'规格明细'!K175))</x:f>
        <x:v>0.8196527777777779</x:v>
      </x:c>
      <x:c r="H107" s="178" t="n">
        <x:f>SUM('规格明细'!L174,'规格明细'!L175)</x:f>
        <x:v>39.15952128</x:v>
      </x:c>
      <x:c r="I107" s="184"/>
    </x:row>
    <x:row r="108">
      <x:c r="A108" s="177" t="str">
        <x:v>2029E</x:v>
      </x:c>
      <x:c r="B108" s="177" t="str">
        <x:v>FAU V型槽</x:v>
      </x:c>
      <x:c r="C108" s="231" t="n">
        <x:f>IF(SUM('规格明细'!G176,'规格明细'!G177)=0,0,SUM('规格明细'!K176,'规格明细'!K177)*100000000/SUM('规格明细'!G176,'规格明细'!G177))</x:f>
        <x:v>7.644672000000001</x:v>
      </x:c>
      <x:c r="D108" s="216" t="n">
        <x:f>SUM('规格明细'!G176,'规格明细'!G177)</x:f>
        <x:v>1615680000</x:v>
      </x:c>
      <x:c r="E108" s="177" t="str">
        <x:v>通道</x:v>
      </x:c>
      <x:c r="F108" s="178" t="n">
        <x:f>SUM('规格明细'!K176,'规格明细'!K177)</x:f>
        <x:v>123.5134365696</x:v>
      </x:c>
      <x:c r="G108" s="190" t="n">
        <x:f>IF(SUM('规格明细'!K176,'规格明细'!K177)=0,0,SUM('规格明细'!L176,'规格明细'!L177)/SUM('规格明细'!K176,'规格明细'!K177))</x:f>
        <x:v>0.7052531645569621</x:v>
      </x:c>
      <x:c r="H108" s="178" t="n">
        <x:f>SUM('规格明细'!L176,'规格明细'!L177)</x:f>
        <x:v>87.10824200601601</x:v>
      </x:c>
      <x:c r="I108" s="184"/>
    </x:row>
    <x:row r="109">
      <x:c r="A109" s="177" t="str">
        <x:v>2029E</x:v>
      </x:c>
      <x:c r="B109" s="177" t="str">
        <x:v>FAU棱镜阵列</x:v>
      </x:c>
      <x:c r="C109" s="231" t="n">
        <x:f>IF(SUM('规格明细'!G178,'规格明细'!G179)=0,0,SUM('规格明细'!K178,'规格明细'!K179)*100000000/SUM('规格明细'!G178,'规格明细'!G179))</x:f>
        <x:v>10.920960000000003</x:v>
      </x:c>
      <x:c r="D109" s="216" t="n">
        <x:f>SUM('规格明细'!G178,'规格明细'!G179)</x:f>
        <x:v>1615680000</x:v>
      </x:c>
      <x:c r="E109" s="177" t="str">
        <x:v>通道</x:v>
      </x:c>
      <x:c r="F109" s="178" t="n">
        <x:f>SUM('规格明细'!K178,'规格明细'!K179)</x:f>
        <x:v>176.44776652800002</x:v>
      </x:c>
      <x:c r="G109" s="190" t="n">
        <x:f>'机会输入'!H24</x:f>
        <x:v>0.45</x:v>
      </x:c>
      <x:c r="H109" s="178" t="n">
        <x:f>SUM('规格明细'!L178,'规格明细'!L179)</x:f>
        <x:v>79.40149493760002</x:v>
      </x:c>
      <x:c r="I109" s="184"/>
    </x:row>
    <x:row r="110">
      <x:c r="A110" s="177" t="str">
        <x:v>2029E</x:v>
      </x:c>
      <x:c r="B110" s="177" t="str">
        <x:v>ELS透镜＋热沉</x:v>
      </x:c>
      <x:c r="C110" s="231" t="n">
        <x:f>IF(SUM('规格明细'!G180,'规格明细'!G181)=0,0,SUM('规格明细'!K180,'规格明细'!K181)*100000000/SUM('规格明细'!G180,'规格明细'!G181))</x:f>
        <x:v>53.03231999999999</x:v>
      </x:c>
      <x:c r="D110" s="216" t="n">
        <x:f>SUM('规格明细'!G180,'规格明细'!G181)</x:f>
        <x:v>108800000</x:v>
      </x:c>
      <x:c r="E110" s="177" t="str">
        <x:v>套光源配套</x:v>
      </x:c>
      <x:c r="F110" s="178" t="n">
        <x:f>SUM('规格明细'!K180,'规格明细'!K181)</x:f>
        <x:v>57.699164159999995</x:v>
      </x:c>
      <x:c r="G110" s="190" t="n">
        <x:f>IF(SUM('规格明细'!K180,'规格明细'!K181)=0,0,SUM('规格明细'!L180,'规格明细'!L181)/SUM('规格明细'!K180,'规格明细'!K181))</x:f>
        <x:v>0.4967741935483872</x:v>
      </x:c>
      <x:c r="H110" s="178" t="n">
        <x:f>SUM('规格明细'!L180,'规格明细'!L181)</x:f>
        <x:v>28.663455744000004</x:v>
      </x:c>
      <x:c r="I110" s="184"/>
    </x:row>
    <x:row r="111">
      <x:c r="A111" s="177" t="str">
        <x:v>2029E</x:v>
      </x:c>
      <x:c r="B111" s="177" t="str">
        <x:v>FAU量测设备</x:v>
      </x:c>
      <x:c r="C111" s="231" t="n">
        <x:f>IF(SUM('规格明细'!G182,'规格明细'!G183)=0,0,SUM('规格明细'!K182,'规格明细'!K183)*100000000/SUM('规格明细'!G182,'规格明细'!G183))</x:f>
        <x:v>81840</x:v>
      </x:c>
      <x:c r="D111" s="216" t="n">
        <x:f>SUM('规格明细'!G182,'规格明细'!G183)</x:f>
        <x:v>27200</x:v>
      </x:c>
      <x:c r="E111" s="177" t="str">
        <x:v>台设备</x:v>
      </x:c>
      <x:c r="F111" s="178" t="n">
        <x:f>SUM('规格明细'!K182,'规格明细'!K183)</x:f>
        <x:v>22.26048</x:v>
      </x:c>
      <x:c r="G111" s="190" t="n">
        <x:f>IF(SUM('规格明细'!K182,'规格明细'!K183)=0,0,SUM('规格明细'!L182,'规格明细'!L183)/SUM('规格明细'!K182,'规格明细'!K183))</x:f>
        <x:v>0.5884408602150537</x:v>
      </x:c>
      <x:c r="H111" s="178" t="n">
        <x:f>SUM('规格明细'!L182,'规格明细'!L183)</x:f>
        <x:v>13.098976</x:v>
      </x:c>
      <x:c r="I111" s="184"/>
    </x:row>
    <x:row r="112">
      <x:c r="A112" s="177" t="str">
        <x:v>2030E</x:v>
      </x:c>
      <x:c r="B112" s="177" t="str">
        <x:v>800G可插拔透镜</x:v>
      </x:c>
      <x:c r="C112" s="231" t="n">
        <x:f>IF(SUM('规格明细'!G184)=0,0,SUM('规格明细'!K184)*100000000/SUM('规格明细'!G184))</x:f>
        <x:v>2.8868400000000003</x:v>
      </x:c>
      <x:c r="D112" s="216" t="n">
        <x:f>SUM('规格明细'!G184)</x:f>
        <x:v>180000000</x:v>
      </x:c>
      <x:c r="E112" s="177" t="str">
        <x:v>只透镜</x:v>
      </x:c>
      <x:c r="F112" s="178" t="n">
        <x:f>SUM('规格明细'!K184)</x:f>
        <x:v>5.196312000000001</x:v>
      </x:c>
      <x:c r="G112" s="190" t="n">
        <x:f>IF(SUM('规格明细'!K184)=0,0,SUM('规格明细'!L184)/SUM('规格明细'!K184))</x:f>
        <x:v>0.11</x:v>
      </x:c>
      <x:c r="H112" s="178" t="n">
        <x:f>SUM('规格明细'!L184)</x:f>
        <x:v>0.5715943200000001</x:v>
      </x:c>
      <x:c r="I112" s="184"/>
    </x:row>
    <x:row r="113">
      <x:c r="A113" s="177" t="str">
        <x:v>2030E</x:v>
      </x:c>
      <x:c r="B113" s="177" t="str">
        <x:v>1.6T可插拔透镜</x:v>
      </x:c>
      <x:c r="C113" s="231" t="n">
        <x:f>IF(SUM('规格明细'!G185)=0,0,SUM('规格明细'!K185)*100000000/SUM('规格明细'!G185))</x:f>
        <x:v>4.041576</x:v>
      </x:c>
      <x:c r="D113" s="216" t="n">
        <x:f>SUM('规格明细'!G185)</x:f>
        <x:v>1600000000</x:v>
      </x:c>
      <x:c r="E113" s="177" t="str">
        <x:v>只透镜</x:v>
      </x:c>
      <x:c r="F113" s="178" t="n">
        <x:f>SUM('规格明细'!K185)</x:f>
        <x:v>64.665216</x:v>
      </x:c>
      <x:c r="G113" s="190" t="n">
        <x:f>IF(SUM('规格明细'!K185)=0,0,SUM('规格明细'!L185)/SUM('规格明细'!K185))</x:f>
        <x:v>0.11000000000000001</x:v>
      </x:c>
      <x:c r="H113" s="178" t="n">
        <x:f>SUM('规格明细'!L185)</x:f>
        <x:v>7.113173760000001</x:v>
      </x:c>
      <x:c r="I113" s="184"/>
    </x:row>
    <x:row r="114">
      <x:c r="A114" s="177" t="str">
        <x:v>2030E</x:v>
      </x:c>
      <x:c r="B114" s="177" t="str">
        <x:v>OCS NxN透镜阵列</x:v>
      </x:c>
      <x:c r="C114" s="231" t="n">
        <x:f>IF(SUM('规格明细'!G186,'规格明细'!G187)=0,0,SUM('规格明细'!K186,'规格明细'!K187)*100000000/SUM('规格明细'!G186,'规格明细'!G187))</x:f>
        <x:v>27.44470588235295</x:v>
      </x:c>
      <x:c r="D114" s="216" t="n">
        <x:f>SUM('规格明细'!G186,'规格明细'!G187)</x:f>
        <x:v>244800000</x:v>
      </x:c>
      <x:c r="E114" s="177" t="str">
        <x:v>总光通道</x:v>
      </x:c>
      <x:c r="F114" s="178" t="n">
        <x:f>SUM('规格明细'!K186,'规格明细'!K187)</x:f>
        <x:v>67.18464000000002</x:v>
      </x:c>
      <x:c r="G114" s="190" t="n">
        <x:f>IF(SUM('规格明细'!K186,'规格明细'!K187)=0,0,SUM('规格明细'!L186,'规格明细'!L187)/SUM('规格明细'!K186,'规格明细'!K187))</x:f>
        <x:v>0.7115625</x:v>
      </x:c>
      <x:c r="H114" s="178" t="n">
        <x:f>SUM('规格明细'!L186,'规格明细'!L187)</x:f>
        <x:v>47.80607040000001</x:v>
      </x:c>
      <x:c r="I114" s="184"/>
    </x:row>
    <x:row r="115">
      <x:c r="A115" s="177" t="str">
        <x:v>2030E</x:v>
      </x:c>
      <x:c r="B115" s="177" t="str">
        <x:v>FAU V型槽</x:v>
      </x:c>
      <x:c r="C115" s="231" t="n">
        <x:f>IF(SUM('规格明细'!G188,'规格明细'!G189)=0,0,SUM('规格明细'!K188,'规格明细'!K189)*100000000/SUM('规格明细'!G188,'规格明细'!G189))</x:f>
        <x:v>7.0253568</x:v>
      </x:c>
      <x:c r="D115" s="216" t="n">
        <x:f>SUM('规格明细'!G188,'规格明细'!G189)</x:f>
        <x:v>2488320000</x:v>
      </x:c>
      <x:c r="E115" s="177" t="str">
        <x:v>通道</x:v>
      </x:c>
      <x:c r="F115" s="178" t="n">
        <x:f>SUM('规格明细'!K188,'规格明细'!K189)</x:f>
        <x:v>174.81335832576002</x:v>
      </x:c>
      <x:c r="G115" s="190" t="n">
        <x:f>IF(SUM('规格明细'!K188,'规格明细'!K189)=0,0,SUM('规格明细'!L188,'规格明细'!L189)/SUM('规格明细'!K188,'规格明细'!K189))</x:f>
        <x:v>0.7650000000000001</x:v>
      </x:c>
      <x:c r="H115" s="178" t="n">
        <x:f>SUM('规格明细'!L188,'规格明细'!L189)</x:f>
        <x:v>133.73221911920643</x:v>
      </x:c>
      <x:c r="I115" s="184"/>
    </x:row>
    <x:row r="116">
      <x:c r="A116" s="177" t="str">
        <x:v>2030E</x:v>
      </x:c>
      <x:c r="B116" s="177" t="str">
        <x:v>FAU棱镜阵列</x:v>
      </x:c>
      <x:c r="C116" s="231" t="n">
        <x:f>IF(SUM('规格明细'!G190,'规格明细'!G191)=0,0,SUM('规格明细'!K190,'规格明细'!K191)*100000000/SUM('规格明细'!G190,'规格明细'!G191))</x:f>
        <x:v>10.036224</x:v>
      </x:c>
      <x:c r="D116" s="216" t="n">
        <x:f>SUM('规格明细'!G190,'规格明细'!G191)</x:f>
        <x:v>2488320000</x:v>
      </x:c>
      <x:c r="E116" s="177" t="str">
        <x:v>通道</x:v>
      </x:c>
      <x:c r="F116" s="178" t="n">
        <x:f>SUM('规格明细'!K190,'规格明细'!K191)</x:f>
        <x:v>249.7333690368</x:v>
      </x:c>
      <x:c r="G116" s="190" t="n">
        <x:f>'机会输入'!I24</x:f>
        <x:v>0.45</x:v>
      </x:c>
      <x:c r="H116" s="178" t="n">
        <x:f>SUM('规格明细'!L190,'规格明细'!L191)</x:f>
        <x:v>112.38001606656002</x:v>
      </x:c>
      <x:c r="I116" s="184"/>
    </x:row>
    <x:row r="117">
      <x:c r="A117" s="177" t="str">
        <x:v>2030E</x:v>
      </x:c>
      <x:c r="B117" s="177" t="str">
        <x:v>ELS透镜＋热沉</x:v>
      </x:c>
      <x:c r="C117" s="231" t="n">
        <x:f>IF(SUM('规格明细'!G192,'规格明细'!G193)=0,0,SUM('规格明细'!K192,'规格明细'!K193)*100000000/SUM('规格明细'!G192,'规格明细'!G193))</x:f>
        <x:v>49.268736</x:v>
      </x:c>
      <x:c r="D117" s="216" t="n">
        <x:f>SUM('规格明细'!G192,'规格明细'!G193)</x:f>
        <x:v>153600000</x:v>
      </x:c>
      <x:c r="E117" s="177" t="str">
        <x:v>套光源配套</x:v>
      </x:c>
      <x:c r="F117" s="178" t="n">
        <x:f>SUM('规格明细'!K192,'规格明细'!K193)</x:f>
        <x:v>75.676778496</x:v>
      </x:c>
      <x:c r="G117" s="190" t="n">
        <x:f>IF(SUM('规格明细'!K192,'规格明细'!K193)=0,0,SUM('规格明细'!L192,'规格明细'!L193)/SUM('规格明细'!K192,'规格明细'!K193))</x:f>
        <x:v>0.4858333333333334</x:v>
      </x:c>
      <x:c r="H117" s="178" t="n">
        <x:f>SUM('规格明细'!L192,'规格明细'!L193)</x:f>
        <x:v>36.76630155264</x:v>
      </x:c>
      <x:c r="I117" s="184"/>
    </x:row>
    <x:row r="118">
      <x:c r="A118" s="177" t="str">
        <x:v>2030E</x:v>
      </x:c>
      <x:c r="B118" s="177" t="str">
        <x:v>FAU量测设备</x:v>
      </x:c>
      <x:c r="C118" s="231" t="n">
        <x:f>IF(SUM('规格明细'!G194,'规格明细'!G195)=0,0,SUM('规格明细'!K194,'规格明细'!K195)*100000000/SUM('规格明细'!G194,'规格明细'!G195))</x:f>
        <x:v>84480</x:v>
      </x:c>
      <x:c r="D118" s="216" t="n">
        <x:f>SUM('规格明细'!G194,'规格明细'!G195)</x:f>
        <x:v>38400</x:v>
      </x:c>
      <x:c r="E118" s="177" t="str">
        <x:v>台设备</x:v>
      </x:c>
      <x:c r="F118" s="178" t="n">
        <x:f>SUM('规格明细'!K194,'规格明细'!K195)</x:f>
        <x:v>32.44032</x:v>
      </x:c>
      <x:c r="G118" s="190" t="n">
        <x:f>IF(SUM('规格明细'!K194,'规格明细'!K195)=0,0,SUM('规格明细'!L194,'规格明细'!L195)/SUM('规格明细'!K194,'规格明细'!K195))</x:f>
        <x:v>0.6508333333333334</x:v>
      </x:c>
      <x:c r="H118" s="178" t="n">
        <x:f>SUM('规格明细'!L194,'规格明细'!L195)</x:f>
        <x:v>21.113241600000002</x:v>
      </x:c>
      <x:c r="I118" s="184"/>
    </x:row>
    <x:row r="119">
      <x:c r="A119" s="184"/>
      <x:c r="B119" s="184"/>
      <x:c r="C119" s="184"/>
      <x:c r="D119" s="184"/>
      <x:c r="E119" s="184"/>
      <x:c r="F119" s="184"/>
      <x:c r="G119" s="184"/>
      <x:c r="H119" s="184"/>
      <x:c r="I119" s="184"/>
    </x:row>
    <x:row r="120">
      <x:c r="A120" s="184"/>
      <x:c r="B120" s="184"/>
      <x:c r="C120" s="184"/>
      <x:c r="D120" s="184"/>
      <x:c r="E120" s="184"/>
      <x:c r="F120" s="184"/>
      <x:c r="G120" s="184"/>
      <x:c r="H120" s="184"/>
      <x:c r="I120" s="184"/>
    </x:row>
    <x:row r="121" ht="48" customHeight="1">
      <x:c r="A121" s="198" t="str">
        <x:v>量价空间为七线聚合；分规格出货量、每机用量、价格、份额与公式见“规格明细”。聚合单价按组件量加权，聚合份额按行业空间加权；无独立NPO、许可费、PIC端MPLA或FAU集成代工重复加总。</x:v>
      </x:c>
      <x:c r="B121" s="198"/>
      <x:c r="C121" s="198"/>
      <x:c r="D121" s="198"/>
      <x:c r="E121" s="198"/>
      <x:c r="F121" s="198"/>
      <x:c r="G121" s="198"/>
      <x:c r="H121" s="198"/>
      <x:c r="I121" s="184"/>
    </x:row>
    <x:row r="122">
      <x:c r="A122" s="184"/>
      <x:c r="B122" s="184"/>
      <x:c r="C122" s="184"/>
      <x:c r="D122" s="184"/>
      <x:c r="E122" s="184"/>
      <x:c r="F122" s="184"/>
      <x:c r="G122" s="184"/>
      <x:c r="H122" s="184"/>
      <x:c r="I122" s="184"/>
    </x:row>
    <x:row r="123">
      <x:c r="A123" s="184"/>
      <x:c r="B123" s="184"/>
      <x:c r="C123" s="184"/>
      <x:c r="D123" s="184"/>
      <x:c r="E123" s="184"/>
      <x:c r="F123" s="184"/>
      <x:c r="G123" s="184"/>
      <x:c r="H123" s="184"/>
      <x:c r="I123" s="189" t="str">
        <x:v> </x:v>
      </x:c>
    </x:row>
  </x:sheetData>
  <x:mergeCells>
    <x:mergeCell ref="A1:H1"/>
    <x:mergeCell ref="A2:H2"/>
    <x:mergeCell ref="A4:H4"/>
    <x:mergeCell ref="A43:H43"/>
    <x:mergeCell ref="A82:H82"/>
    <x:mergeCell ref="A121:H12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9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2" hidden="0" customWidth="1"/>
    <x:col min="9" max="9" width="22" hidden="0" customWidth="1"/>
    <x:col min="10" max="10" width="17" hidden="0" customWidth="1"/>
    <x:col min="11" max="11" width="24" hidden="0" customWidth="1"/>
  </x:cols>
  <x:sheetData>
    <x:row r="1" ht="32" customHeight="1">
      <x:c r="A1" s="172" t="str">
        <x:v>CPO产业链可比公司盈利与估值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245"/>
    </x:row>
    <x:row r="2" ht="28" customHeight="1">
      <x:c r="A2" s="174" t="str">
        <x:v>收入、净利润：亿元；股价、EPS：元；PE：倍。炬光随B35情景联动；同业保留各自原报告时点。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245"/>
    </x:row>
    <x:row r="3">
      <x:c r="A3" s="245"/>
      <x:c r="B3" s="245"/>
      <x:c r="C3" s="245"/>
      <x:c r="D3" s="245"/>
      <x:c r="E3" s="245"/>
      <x:c r="F3" s="245"/>
      <x:c r="G3" s="245"/>
      <x:c r="H3" s="245"/>
      <x:c r="I3" s="245"/>
      <x:c r="J3" s="245"/>
      <x:c r="K3" s="245"/>
      <x:c r="L3" s="245"/>
    </x:row>
    <x:row r="4">
      <x:c r="A4" s="176" t="str">
        <x:v>公司</x:v>
      </x:c>
      <x:c r="B4" s="176" t="str">
        <x:v>股票代码</x:v>
      </x:c>
      <x:c r="C4" s="176" t="str">
        <x:v>预测年度</x:v>
      </x:c>
      <x:c r="D4" s="176" t="str">
        <x:v>营业收入</x:v>
      </x:c>
      <x:c r="E4" s="176" t="str">
        <x:v>净利润</x:v>
      </x:c>
      <x:c r="F4" s="176" t="str">
        <x:v>EPS</x:v>
      </x:c>
      <x:c r="G4" s="176" t="str">
        <x:v>PE</x:v>
      </x:c>
      <x:c r="H4" s="176" t="str">
        <x:v>机构</x:v>
      </x:c>
      <x:c r="I4" s="176" t="str">
        <x:v>报告日期</x:v>
      </x:c>
      <x:c r="J4" s="176" t="str">
        <x:v>采用股价</x:v>
      </x:c>
      <x:c r="K4" s="176" t="str">
        <x:v>净利口径</x:v>
      </x:c>
      <x:c r="L4" s="245"/>
    </x:row>
    <x:row r="5">
      <x:c r="A5" s="233" t="str">
        <x:v>炬光科技</x:v>
      </x:c>
      <x:c r="B5" s="233" t="str">
        <x:v>688167.SH</x:v>
      </x:c>
      <x:c r="C5" s="233" t="str">
        <x:v>2026E</x:v>
      </x:c>
      <x:c r="D5" s="234" t="n">
        <x:f>IF($B$35="审慎",'合并预测'!B46,IF($B$35="乐观",'合并预测'!B48,'合并预测'!B47))</x:f>
        <x:v>11.3114144</x:v>
      </x:c>
      <x:c r="E5" s="234" t="n">
        <x:f>IF($B$35="审慎",'合并预测'!I46,IF($B$35="乐观",'合并预测'!I48,'合并预测'!I47))</x:f>
        <x:v>0.8231908704000006</x:v>
      </x:c>
      <x:c r="F5" s="235" t="n">
        <x:f>E5*100000000/$C$32</x:f>
        <x:v>0.6325475482666915</x:v>
      </x:c>
      <x:c r="G5" s="234" t="n">
        <x:f>IF(E5&gt;0,$D$32/E5,"NM")</x:f>
        <x:v>449.2626693103322</x:v>
      </x:c>
      <x:c r="H5" s="233" t="str">
        <x:v>华鑫AI研究</x:v>
      </x:c>
      <x:c r="I5" s="233" t="str">
        <x:v>2026-09-04</x:v>
      </x:c>
      <x:c r="J5" s="234" t="n">
        <x:f>$B$32</x:f>
        <x:v>284.18</x:v>
      </x:c>
      <x:c r="K5" s="233" t="str">
        <x:v>归母净利润</x:v>
      </x:c>
      <x:c r="L5" s="245"/>
    </x:row>
    <x:row r="6">
      <x:c r="A6" s="233" t="str">
        <x:v>炬光科技</x:v>
      </x:c>
      <x:c r="B6" s="233" t="str">
        <x:v>688167.SH</x:v>
      </x:c>
      <x:c r="C6" s="233" t="str">
        <x:v>2027E</x:v>
      </x:c>
      <x:c r="D6" s="234" t="n">
        <x:f>IF($B$35="审慎",'合并预测'!C46,IF($B$35="乐观",'合并预测'!C48,'合并预测'!C47))</x:f>
        <x:v>39.989853600000004</x:v>
      </x:c>
      <x:c r="E6" s="234" t="n">
        <x:f>IF($B$35="审慎",'合并预测'!J46,IF($B$35="乐观",'合并预测'!J48,'合并预测'!J47))</x:f>
        <x:v>8.453124351300003</x:v>
      </x:c>
      <x:c r="F6" s="235" t="n">
        <x:f>E6*100000000/$C$32</x:f>
        <x:v>6.4954596508220455</x:v>
      </x:c>
      <x:c r="G6" s="234" t="n">
        <x:f>IF(E6&gt;0,$D$32/E6,"NM")</x:f>
        <x:v>43.75056043401564</x:v>
      </x:c>
      <x:c r="H6" s="233" t="str">
        <x:v>华鑫AI研究</x:v>
      </x:c>
      <x:c r="I6" s="233" t="str">
        <x:v>2026-09-04</x:v>
      </x:c>
      <x:c r="J6" s="234" t="n">
        <x:f>$B$32</x:f>
        <x:v>284.18</x:v>
      </x:c>
      <x:c r="K6" s="233" t="str">
        <x:v>归母净利润</x:v>
      </x:c>
      <x:c r="L6" s="245"/>
    </x:row>
    <x:row r="7">
      <x:c r="A7" s="233" t="str">
        <x:v>炬光科技</x:v>
      </x:c>
      <x:c r="B7" s="233" t="str">
        <x:v>688167.SH</x:v>
      </x:c>
      <x:c r="C7" s="233" t="str">
        <x:v>2028E</x:v>
      </x:c>
      <x:c r="D7" s="234" t="n">
        <x:f>IF($B$35="审慎",'合并预测'!D46,IF($B$35="乐观",'合并预测'!D48,'合并预测'!D47))</x:f>
        <x:v>107.689760688</x:v>
      </x:c>
      <x:c r="E7" s="234" t="n">
        <x:f>IF($B$35="审慎",'合并预测'!K46,IF($B$35="乐观",'合并预测'!K48,'合并预测'!K47))</x:f>
        <x:v>31.040182043820398</x:v>
      </x:c>
      <x:c r="F7" s="235" t="n">
        <x:f>E7*100000000/$C$32</x:f>
        <x:v>23.85156560352732</x:v>
      </x:c>
      <x:c r="G7" s="234" t="n">
        <x:f>IF(E7&gt;0,$D$32/E7,"NM")</x:f>
        <x:v>11.914521869288683</x:v>
      </x:c>
      <x:c r="H7" s="233" t="str">
        <x:v>华鑫AI研究</x:v>
      </x:c>
      <x:c r="I7" s="233" t="str">
        <x:v>2026-09-04</x:v>
      </x:c>
      <x:c r="J7" s="234" t="n">
        <x:f>$B$32</x:f>
        <x:v>284.18</x:v>
      </x:c>
      <x:c r="K7" s="233" t="str">
        <x:v>归母净利润</x:v>
      </x:c>
      <x:c r="L7" s="245"/>
    </x:row>
    <x:row r="8">
      <x:c r="A8" s="236" t="str">
        <x:v>罗博特科</x:v>
      </x:c>
      <x:c r="B8" s="236" t="str">
        <x:v>300757.SZ</x:v>
      </x:c>
      <x:c r="C8" s="236" t="str">
        <x:v>2026E</x:v>
      </x:c>
      <x:c r="D8" s="237" t="n">
        <x:v>20.65</x:v>
      </x:c>
      <x:c r="E8" s="237" t="n">
        <x:v>1.44</x:v>
      </x:c>
      <x:c r="F8" s="238" t="n">
        <x:v>0.861</x:v>
      </x:c>
      <x:c r="G8" s="237" t="n">
        <x:v>561.06</x:v>
      </x:c>
      <x:c r="H8" s="236" t="str">
        <x:v>美银证券</x:v>
      </x:c>
      <x:c r="I8" s="236" t="str">
        <x:v>2026-08-20</x:v>
      </x:c>
      <x:c r="J8" s="237" t="n">
        <x:v>483.01</x:v>
      </x:c>
      <x:c r="K8" s="236" t="str">
        <x:v>美银调整口径</x:v>
      </x:c>
      <x:c r="L8" s="245"/>
    </x:row>
    <x:row r="9">
      <x:c r="A9" s="236" t="str">
        <x:v>罗博特科</x:v>
      </x:c>
      <x:c r="B9" s="236" t="str">
        <x:v>300757.SZ</x:v>
      </x:c>
      <x:c r="C9" s="236" t="str">
        <x:v>2027E</x:v>
      </x:c>
      <x:c r="D9" s="237" t="n">
        <x:v>59.82</x:v>
      </x:c>
      <x:c r="E9" s="237" t="n">
        <x:v>12.32</x:v>
      </x:c>
      <x:c r="F9" s="238" t="n">
        <x:v>7.35</x:v>
      </x:c>
      <x:c r="G9" s="237" t="n">
        <x:v>65.7</x:v>
      </x:c>
      <x:c r="H9" s="236" t="str">
        <x:v>美银证券</x:v>
      </x:c>
      <x:c r="I9" s="236" t="str">
        <x:v>2026-08-20</x:v>
      </x:c>
      <x:c r="J9" s="237" t="n">
        <x:v>483.01</x:v>
      </x:c>
      <x:c r="K9" s="236" t="str">
        <x:v>美银调整口径</x:v>
      </x:c>
      <x:c r="L9" s="245"/>
    </x:row>
    <x:row r="10">
      <x:c r="A10" s="236" t="str">
        <x:v>罗博特科</x:v>
      </x:c>
      <x:c r="B10" s="236" t="str">
        <x:v>300757.SZ</x:v>
      </x:c>
      <x:c r="C10" s="236" t="str">
        <x:v>2028E</x:v>
      </x:c>
      <x:c r="D10" s="237" t="n">
        <x:v>102.26</x:v>
      </x:c>
      <x:c r="E10" s="237" t="n">
        <x:v>30.1</x:v>
      </x:c>
      <x:c r="F10" s="238" t="n">
        <x:v>17.96</x:v>
      </x:c>
      <x:c r="G10" s="237" t="n">
        <x:v>26.89</x:v>
      </x:c>
      <x:c r="H10" s="236" t="str">
        <x:v>美银证券</x:v>
      </x:c>
      <x:c r="I10" s="236" t="str">
        <x:v>2026-08-20</x:v>
      </x:c>
      <x:c r="J10" s="237" t="n">
        <x:v>483.01</x:v>
      </x:c>
      <x:c r="K10" s="236" t="str">
        <x:v>美银调整口径</x:v>
      </x:c>
      <x:c r="L10" s="245"/>
    </x:row>
    <x:row r="11">
      <x:c r="A11" s="236" t="str">
        <x:v>天孚通信</x:v>
      </x:c>
      <x:c r="B11" s="236" t="str">
        <x:v>300394.SZ</x:v>
      </x:c>
      <x:c r="C11" s="236" t="str">
        <x:v>2026E</x:v>
      </x:c>
      <x:c r="D11" s="237" t="n">
        <x:v>91.77</x:v>
      </x:c>
      <x:c r="E11" s="237" t="n">
        <x:v>36.4</x:v>
      </x:c>
      <x:c r="F11" s="238" t="n">
        <x:v>3.34</x:v>
      </x:c>
      <x:c r="G11" s="237" t="n">
        <x:v>83.13</x:v>
      </x:c>
      <x:c r="H11" s="236" t="str">
        <x:v>东吴证券</x:v>
      </x:c>
      <x:c r="I11" s="236" t="str">
        <x:v>2026-08-20</x:v>
      </x:c>
      <x:c r="J11" s="237" t="n">
        <x:v>277.4</x:v>
      </x:c>
      <x:c r="K11" s="236" t="str">
        <x:v>归母净利润</x:v>
      </x:c>
      <x:c r="L11" s="245"/>
    </x:row>
    <x:row r="12">
      <x:c r="A12" s="236" t="str">
        <x:v>天孚通信</x:v>
      </x:c>
      <x:c r="B12" s="236" t="str">
        <x:v>300394.SZ</x:v>
      </x:c>
      <x:c r="C12" s="236" t="str">
        <x:v>2027E</x:v>
      </x:c>
      <x:c r="D12" s="237" t="n">
        <x:v>125.68</x:v>
      </x:c>
      <x:c r="E12" s="237" t="n">
        <x:v>48.61</x:v>
      </x:c>
      <x:c r="F12" s="238" t="n">
        <x:v>4.46</x:v>
      </x:c>
      <x:c r="G12" s="237" t="n">
        <x:v>62.24</x:v>
      </x:c>
      <x:c r="H12" s="236" t="str">
        <x:v>东吴证券</x:v>
      </x:c>
      <x:c r="I12" s="236" t="str">
        <x:v>2026-08-20</x:v>
      </x:c>
      <x:c r="J12" s="237" t="n">
        <x:v>277.4</x:v>
      </x:c>
      <x:c r="K12" s="236" t="str">
        <x:v>归母净利润</x:v>
      </x:c>
      <x:c r="L12" s="245"/>
    </x:row>
    <x:row r="13">
      <x:c r="A13" s="236" t="str">
        <x:v>天孚通信</x:v>
      </x:c>
      <x:c r="B13" s="236" t="str">
        <x:v>300394.SZ</x:v>
      </x:c>
      <x:c r="C13" s="236" t="str">
        <x:v>2028E</x:v>
      </x:c>
      <x:c r="D13" s="237" t="n">
        <x:v>168.33</x:v>
      </x:c>
      <x:c r="E13" s="237" t="n">
        <x:v>65.56</x:v>
      </x:c>
      <x:c r="F13" s="238" t="n">
        <x:v>6.01</x:v>
      </x:c>
      <x:c r="G13" s="237" t="n">
        <x:v>46.16</x:v>
      </x:c>
      <x:c r="H13" s="236" t="str">
        <x:v>东吴证券</x:v>
      </x:c>
      <x:c r="I13" s="236" t="str">
        <x:v>2026-08-20</x:v>
      </x:c>
      <x:c r="J13" s="237" t="n">
        <x:v>277.4</x:v>
      </x:c>
      <x:c r="K13" s="236" t="str">
        <x:v>归母净利润</x:v>
      </x:c>
      <x:c r="L13" s="245"/>
    </x:row>
    <x:row r="14">
      <x:c r="A14" s="236" t="str">
        <x:v>太辰光</x:v>
      </x:c>
      <x:c r="B14" s="236" t="str">
        <x:v>300570.SZ</x:v>
      </x:c>
      <x:c r="C14" s="236" t="str">
        <x:v>2026E</x:v>
      </x:c>
      <x:c r="D14" s="237" t="n">
        <x:v>26.15</x:v>
      </x:c>
      <x:c r="E14" s="237" t="n">
        <x:v>5.07</x:v>
      </x:c>
      <x:c r="F14" s="238" t="n">
        <x:v>2.23</x:v>
      </x:c>
      <x:c r="G14" s="237" t="n">
        <x:v>72</x:v>
      </x:c>
      <x:c r="H14" s="236" t="str">
        <x:v>群益证券（香港）</x:v>
      </x:c>
      <x:c r="I14" s="236" t="str">
        <x:v>2026-08-17</x:v>
      </x:c>
      <x:c r="J14" s="237" t="n">
        <x:v>161.5</x:v>
      </x:c>
      <x:c r="K14" s="236" t="str">
        <x:v>归母净利润</x:v>
      </x:c>
      <x:c r="L14" s="245"/>
    </x:row>
    <x:row r="15">
      <x:c r="A15" s="236" t="str">
        <x:v>太辰光</x:v>
      </x:c>
      <x:c r="B15" s="236" t="str">
        <x:v>300570.SZ</x:v>
      </x:c>
      <x:c r="C15" s="236" t="str">
        <x:v>2027E</x:v>
      </x:c>
      <x:c r="D15" s="237" t="n">
        <x:v>38.17</x:v>
      </x:c>
      <x:c r="E15" s="237" t="n">
        <x:v>8.18</x:v>
      </x:c>
      <x:c r="F15" s="238" t="n">
        <x:v>3.6</x:v>
      </x:c>
      <x:c r="G15" s="237" t="n">
        <x:v>45</x:v>
      </x:c>
      <x:c r="H15" s="236" t="str">
        <x:v>群益证券（香港）</x:v>
      </x:c>
      <x:c r="I15" s="236" t="str">
        <x:v>2026-08-17</x:v>
      </x:c>
      <x:c r="J15" s="237" t="n">
        <x:v>161.5</x:v>
      </x:c>
      <x:c r="K15" s="236" t="str">
        <x:v>归母净利润</x:v>
      </x:c>
      <x:c r="L15" s="245"/>
    </x:row>
    <x:row r="16">
      <x:c r="A16" s="236" t="str">
        <x:v>太辰光</x:v>
      </x:c>
      <x:c r="B16" s="236" t="str">
        <x:v>300570.SZ</x:v>
      </x:c>
      <x:c r="C16" s="236" t="str">
        <x:v>2028E</x:v>
      </x:c>
      <x:c r="D16" s="237" t="n">
        <x:v>51.06</x:v>
      </x:c>
      <x:c r="E16" s="237" t="n">
        <x:v>11.8</x:v>
      </x:c>
      <x:c r="F16" s="238" t="n">
        <x:v>5.2</x:v>
      </x:c>
      <x:c r="G16" s="237" t="n">
        <x:v>31</x:v>
      </x:c>
      <x:c r="H16" s="236" t="str">
        <x:v>群益证券（香港）</x:v>
      </x:c>
      <x:c r="I16" s="236" t="str">
        <x:v>2026-08-17</x:v>
      </x:c>
      <x:c r="J16" s="237" t="n">
        <x:v>161.5</x:v>
      </x:c>
      <x:c r="K16" s="236" t="str">
        <x:v>归母净利润</x:v>
      </x:c>
      <x:c r="L16" s="245"/>
    </x:row>
    <x:row r="17">
      <x:c r="A17" s="245"/>
      <x:c r="B17" s="245"/>
      <x:c r="C17" s="245"/>
      <x:c r="D17" s="245"/>
      <x:c r="E17" s="245"/>
      <x:c r="F17" s="245"/>
      <x:c r="G17" s="245"/>
      <x:c r="H17" s="245"/>
      <x:c r="I17" s="245"/>
      <x:c r="J17" s="245"/>
      <x:c r="K17" s="245"/>
      <x:c r="L17" s="245"/>
    </x:row>
    <x:row r="18" ht="58" customHeight="1">
      <x:c r="A18" s="198" t="str">
        <x:v>同业采用各机构原报告的股价、盈利预测与PE，不是实时估值或跨机构一致预期。罗博特科净利润及EPS沿用美银调整口径，其余为归母口径；PE采用原表未取整的盈利预测计算，与展示的四舍五入EPS可能略有差异。</x:v>
      </x:c>
      <x:c r="B18" s="198"/>
      <x:c r="C18" s="198"/>
      <x:c r="D18" s="198"/>
      <x:c r="E18" s="198"/>
      <x:c r="F18" s="198"/>
      <x:c r="G18" s="198"/>
      <x:c r="H18" s="198"/>
      <x:c r="I18" s="198"/>
      <x:c r="J18" s="198"/>
      <x:c r="K18" s="198"/>
      <x:c r="L18" s="245"/>
    </x:row>
    <x:row r="19">
      <x:c r="A19" s="245"/>
      <x:c r="B19" s="245"/>
      <x:c r="C19" s="245"/>
      <x:c r="D19" s="245"/>
      <x:c r="E19" s="245"/>
      <x:c r="F19" s="245"/>
      <x:c r="G19" s="245"/>
      <x:c r="H19" s="245"/>
      <x:c r="I19" s="245"/>
      <x:c r="J19" s="245"/>
      <x:c r="K19" s="245"/>
      <x:c r="L19" s="245"/>
    </x:row>
    <x:row r="20" ht="34" customHeight="1">
      <x:c r="A20" s="246" t="str">
        <x:v>罗博特科｜美银证券｜2026-08-20｜光模块与CPO自动化封装、测试设备｜原报告采用股价</x:v>
      </x:c>
      <x:c r="B20" s="246"/>
      <x:c r="C20" s="246"/>
      <x:c r="D20" s="246"/>
      <x:c r="E20" s="246"/>
      <x:c r="F20" s="246"/>
      <x:c r="G20" s="246"/>
      <x:c r="H20" s="246"/>
      <x:c r="I20" s="246"/>
      <x:c r="J20" s="246"/>
      <x:c r="K20" s="246"/>
      <x:c r="L20" s="245"/>
    </x:row>
    <x:row r="21" ht="34" customHeight="1">
      <x:c r="A21" s="246" t="str">
        <x:v>New Buy: Unique AI optical equipment leader for transceivers and CPO（2026-08-20修正版，第1、2、20页）</x:v>
      </x:c>
      <x:c r="B21" s="246"/>
      <x:c r="C21" s="246"/>
      <x:c r="D21" s="246"/>
      <x:c r="E21" s="246"/>
      <x:c r="F21" s="246"/>
      <x:c r="G21" s="246"/>
      <x:c r="H21" s="246"/>
      <x:c r="I21" s="246"/>
      <x:c r="J21" s="246"/>
      <x:c r="K21" s="246"/>
      <x:c r="L21" s="245"/>
    </x:row>
    <x:row r="22">
      <x:c r="A22" s="245"/>
      <x:c r="B22" s="245"/>
      <x:c r="C22" s="245"/>
      <x:c r="D22" s="245"/>
      <x:c r="E22" s="245"/>
      <x:c r="F22" s="245"/>
      <x:c r="G22" s="245"/>
      <x:c r="H22" s="245"/>
      <x:c r="I22" s="245"/>
      <x:c r="J22" s="245"/>
      <x:c r="K22" s="245"/>
      <x:c r="L22" s="245"/>
    </x:row>
    <x:row r="23" ht="34" customHeight="1">
      <x:c r="A23" s="246" t="str">
        <x:v>天孚通信｜东吴证券｜2026-08-20｜光器件、光引擎及FAU/ELS配套｜原报告采用股价</x:v>
      </x:c>
      <x:c r="B23" s="246"/>
      <x:c r="C23" s="246"/>
      <x:c r="D23" s="246"/>
      <x:c r="E23" s="246"/>
      <x:c r="F23" s="246"/>
      <x:c r="G23" s="246"/>
      <x:c r="H23" s="246"/>
      <x:c r="I23" s="246"/>
      <x:c r="J23" s="246"/>
      <x:c r="K23" s="246"/>
      <x:c r="L23" s="245"/>
    </x:row>
    <x:row r="24" ht="34" customHeight="1">
      <x:c r="A24" s="246" t="str">
        <x:v>2026年半年报点评：半年业绩展现盈利韧性，前沿技术与全球化共筑长期成长（第1—2页）｜https://pdf.dfcfw.com/pdf/H3_AP202608201828194165_1.pdf</x:v>
      </x:c>
      <x:c r="B24" s="246"/>
      <x:c r="C24" s="246"/>
      <x:c r="D24" s="246"/>
      <x:c r="E24" s="246"/>
      <x:c r="F24" s="246"/>
      <x:c r="G24" s="246"/>
      <x:c r="H24" s="246"/>
      <x:c r="I24" s="246"/>
      <x:c r="J24" s="246"/>
      <x:c r="K24" s="246"/>
      <x:c r="L24" s="245"/>
    </x:row>
    <x:row r="25">
      <x:c r="A25" s="245"/>
      <x:c r="B25" s="245"/>
      <x:c r="C25" s="245"/>
      <x:c r="D25" s="245"/>
      <x:c r="E25" s="245"/>
      <x:c r="F25" s="245"/>
      <x:c r="G25" s="245"/>
      <x:c r="H25" s="245"/>
      <x:c r="I25" s="245"/>
      <x:c r="J25" s="245"/>
      <x:c r="K25" s="245"/>
      <x:c r="L25" s="245"/>
    </x:row>
    <x:row r="26" ht="34" customHeight="1">
      <x:c r="A26" s="246" t="str">
        <x:v>太辰光｜群益证券（香港）｜2026-08-17｜MPO/MMC等高密度光连接器｜行情日期2026-08-14</x:v>
      </x:c>
      <x:c r="B26" s="246"/>
      <x:c r="C26" s="246"/>
      <x:c r="D26" s="246"/>
      <x:c r="E26" s="246"/>
      <x:c r="F26" s="246"/>
      <x:c r="G26" s="246"/>
      <x:c r="H26" s="246"/>
      <x:c r="I26" s="246"/>
      <x:c r="J26" s="246"/>
      <x:c r="K26" s="246"/>
      <x:c r="L26" s="245"/>
    </x:row>
    <x:row r="27" ht="34" customHeight="1">
      <x:c r="A27" s="246" t="str">
        <x:v>Q2营收再创新高，后续伴随产能释放业绩有望高速增长（第1—3页）｜https://pdf.dfcfw.com/pdf/H3_AP202608171828044144_1.pdf</x:v>
      </x:c>
      <x:c r="B27" s="246"/>
      <x:c r="C27" s="246"/>
      <x:c r="D27" s="246"/>
      <x:c r="E27" s="246"/>
      <x:c r="F27" s="246"/>
      <x:c r="G27" s="246"/>
      <x:c r="H27" s="246"/>
      <x:c r="I27" s="246"/>
      <x:c r="J27" s="246"/>
      <x:c r="K27" s="246"/>
      <x:c r="L27" s="189" t="str">
        <x:v> </x:v>
      </x:c>
    </x:row>
    <x:row r="28">
      <x:c r="A28" s="245"/>
      <x:c r="B28" s="245"/>
      <x:c r="C28" s="245"/>
      <x:c r="D28" s="245"/>
      <x:c r="E28" s="245"/>
      <x:c r="F28" s="245"/>
      <x:c r="G28" s="245"/>
      <x:c r="H28" s="245"/>
      <x:c r="I28" s="245"/>
      <x:c r="J28" s="245"/>
      <x:c r="K28" s="245"/>
      <x:c r="L28" s="245"/>
    </x:row>
    <x:row r="29">
      <x:c r="A29" s="176" t="str">
        <x:v>炬光科技：估值输入与预测情景</x:v>
      </x:c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245"/>
    </x:row>
    <x:row r="30">
      <x:c r="A30" s="245"/>
      <x:c r="B30" s="245"/>
      <x:c r="C30" s="245"/>
      <x:c r="D30" s="245"/>
      <x:c r="E30" s="245"/>
      <x:c r="F30" s="245"/>
      <x:c r="G30" s="245"/>
      <x:c r="H30" s="245"/>
      <x:c r="I30" s="245"/>
      <x:c r="J30" s="245"/>
      <x:c r="K30" s="245"/>
      <x:c r="L30" s="245"/>
    </x:row>
    <x:row r="31">
      <x:c r="A31" s="176" t="str">
        <x:v>行情日期</x:v>
      </x:c>
      <x:c r="B31" s="176" t="str">
        <x:v>股价（元）</x:v>
      </x:c>
      <x:c r="C31" s="176" t="str">
        <x:v>总股本（股）</x:v>
      </x:c>
      <x:c r="D31" s="176" t="str">
        <x:v>总市值（亿元）</x:v>
      </x:c>
      <x:c r="E31" s="245"/>
      <x:c r="F31" s="245"/>
      <x:c r="G31" s="245"/>
      <x:c r="H31" s="245"/>
      <x:c r="I31" s="245"/>
      <x:c r="J31" s="245"/>
      <x:c r="K31" s="245"/>
      <x:c r="L31" s="245"/>
    </x:row>
    <x:row r="32">
      <x:c r="A32" s="240" t="str">
        <x:v>2026-09-03</x:v>
      </x:c>
      <x:c r="B32" s="241" t="n">
        <x:v>284.18</x:v>
      </x:c>
      <x:c r="C32" s="242" t="n">
        <x:v>130138971</x:v>
      </x:c>
      <x:c r="D32" s="241" t="n">
        <x:f>B32*C32/100000000</x:f>
        <x:v>369.8289277878</x:v>
      </x:c>
      <x:c r="E32" s="245"/>
      <x:c r="F32" s="245"/>
      <x:c r="G32" s="245"/>
      <x:c r="H32" s="245"/>
      <x:c r="I32" s="245"/>
      <x:c r="J32" s="245"/>
      <x:c r="K32" s="245"/>
      <x:c r="L32" s="245"/>
    </x:row>
    <x:row r="33">
      <x:c r="A33" s="245"/>
      <x:c r="B33" s="245"/>
      <x:c r="C33" s="245"/>
      <x:c r="D33" s="245"/>
      <x:c r="E33" s="245"/>
      <x:c r="F33" s="245"/>
      <x:c r="G33" s="245"/>
      <x:c r="H33" s="245"/>
      <x:c r="I33" s="245"/>
      <x:c r="J33" s="245"/>
      <x:c r="K33" s="245"/>
      <x:c r="L33" s="245"/>
    </x:row>
    <x:row r="34">
      <x:c r="A34" s="245"/>
      <x:c r="B34" s="245"/>
      <x:c r="C34" s="245"/>
      <x:c r="D34" s="245"/>
      <x:c r="E34" s="245"/>
      <x:c r="F34" s="245"/>
      <x:c r="G34" s="245"/>
      <x:c r="H34" s="245"/>
      <x:c r="I34" s="245"/>
      <x:c r="J34" s="245"/>
      <x:c r="K34" s="245"/>
      <x:c r="L34" s="245"/>
    </x:row>
    <x:row r="35" ht="36" customHeight="1">
      <x:c r="A35" s="240" t="str">
        <x:v>预测情景</x:v>
      </x:c>
      <x:c r="B35" s="243" t="str">
        <x:v>基准</x:v>
      </x:c>
      <x:c r="C35" s="246" t="str">
        <x:v>切换情景后，上表炬光2026—2028年收入、归母净利润、EPS与PE同步更新。同业原报告预测不变。</x:v>
      </x:c>
      <x:c r="D35" s="246"/>
      <x:c r="E35" s="246"/>
      <x:c r="F35" s="246"/>
      <x:c r="G35" s="246"/>
      <x:c r="H35" s="246"/>
      <x:c r="I35" s="246"/>
      <x:c r="J35" s="246"/>
      <x:c r="K35" s="246"/>
      <x:c r="L35" s="245"/>
    </x:row>
    <x:row r="36">
      <x:c r="A36" s="245"/>
      <x:c r="B36" s="245"/>
      <x:c r="C36" s="245"/>
      <x:c r="D36" s="245"/>
      <x:c r="E36" s="245"/>
      <x:c r="F36" s="245"/>
      <x:c r="G36" s="245"/>
      <x:c r="H36" s="245"/>
      <x:c r="I36" s="245"/>
      <x:c r="J36" s="245"/>
      <x:c r="K36" s="245"/>
      <x:c r="L36" s="245"/>
    </x:row>
    <x:row r="37" ht="42" customHeight="1">
      <x:c r="A37" s="247" t="str">
        <x:v>固定采用2026年9月3日收盘股价及当期总股本；预测利润随情景与输入变化。当前PE＝市值÷预测归母净利润，不折现，不等同于目标估值。亏损年度记为NM。EPS＝预测归母净利润÷总股本。</x:v>
      </x:c>
      <x:c r="B37" s="247"/>
      <x:c r="C37" s="247"/>
      <x:c r="D37" s="247"/>
      <x:c r="E37" s="247"/>
      <x:c r="F37" s="247"/>
      <x:c r="G37" s="247"/>
      <x:c r="H37" s="247"/>
      <x:c r="I37" s="247"/>
      <x:c r="J37" s="247"/>
      <x:c r="K37" s="247"/>
      <x:c r="L37" s="245"/>
    </x:row>
    <x:row r="38">
      <x:c r="A38" s="245"/>
      <x:c r="B38" s="245"/>
      <x:c r="C38" s="245"/>
      <x:c r="D38" s="245"/>
      <x:c r="E38" s="245"/>
      <x:c r="F38" s="245"/>
      <x:c r="G38" s="245"/>
      <x:c r="H38" s="245"/>
      <x:c r="I38" s="245"/>
      <x:c r="J38" s="245"/>
      <x:c r="K38" s="245"/>
      <x:c r="L38" s="245"/>
    </x:row>
    <x:row r="39" ht="42" customHeight="1">
      <x:c r="A39" s="247" t="str">
        <x:v>行情来源：https://qt.gtimg.cn/q=sh688167；交叉核对：https://hq.sinajs.cn/list=sh688167。行情时点：2026-09-03T16:14:39+08:00。</x:v>
      </x:c>
      <x:c r="B39" s="247"/>
      <x:c r="C39" s="247"/>
      <x:c r="D39" s="247"/>
      <x:c r="E39" s="247"/>
      <x:c r="F39" s="247"/>
      <x:c r="G39" s="247"/>
      <x:c r="H39" s="247"/>
      <x:c r="I39" s="247"/>
      <x:c r="J39" s="247"/>
      <x:c r="K39" s="247"/>
      <x:c r="L39" s="245"/>
    </x:row>
    <x:row r="40">
      <x:c r="A40" s="245"/>
      <x:c r="B40" s="245"/>
      <x:c r="C40" s="245"/>
      <x:c r="D40" s="245"/>
      <x:c r="E40" s="245"/>
      <x:c r="F40" s="245"/>
      <x:c r="G40" s="245"/>
      <x:c r="H40" s="245"/>
      <x:c r="I40" s="245"/>
      <x:c r="J40" s="245"/>
      <x:c r="K40" s="245"/>
      <x:c r="L40" s="245"/>
    </x:row>
    <x:row r="41" ht="42" customHeight="1">
      <x:c r="A41" s="247" t="str">
        <x:v>股本来源：https://money.finance.sina.com.cn/corp/view/vCB_AllBulletinDetail.php?id=12483591&amp;stockid=688167。使用回购注销后的130,138,971股，未纳入尚未完成的定增股份。</x:v>
      </x:c>
      <x:c r="B41" s="247"/>
      <x:c r="C41" s="247"/>
      <x:c r="D41" s="247"/>
      <x:c r="E41" s="247"/>
      <x:c r="F41" s="247"/>
      <x:c r="G41" s="247"/>
      <x:c r="H41" s="247"/>
      <x:c r="I41" s="247"/>
      <x:c r="J41" s="247"/>
      <x:c r="K41" s="247"/>
      <x:c r="L41" s="245"/>
    </x:row>
    <x:row r="42">
      <x:c r="A42" s="245"/>
      <x:c r="B42" s="245"/>
      <x:c r="C42" s="245"/>
      <x:c r="D42" s="245"/>
      <x:c r="E42" s="245"/>
      <x:c r="F42" s="245"/>
      <x:c r="G42" s="245"/>
      <x:c r="H42" s="245"/>
      <x:c r="I42" s="245"/>
      <x:c r="J42" s="245"/>
      <x:c r="K42" s="245"/>
      <x:c r="L42" s="245"/>
    </x:row>
    <x:row r="43">
      <x:c r="A43" s="245"/>
      <x:c r="B43" s="245"/>
      <x:c r="C43" s="245"/>
      <x:c r="D43" s="245"/>
      <x:c r="E43" s="245"/>
      <x:c r="F43" s="245"/>
      <x:c r="G43" s="245"/>
      <x:c r="H43" s="245"/>
      <x:c r="I43" s="245"/>
      <x:c r="J43" s="245"/>
      <x:c r="K43" s="245"/>
      <x:c r="L43" s="245"/>
    </x:row>
  </x:sheetData>
  <x:mergeCells>
    <x:mergeCell ref="A1:K1"/>
    <x:mergeCell ref="A2:K2"/>
    <x:mergeCell ref="A18:K18"/>
    <x:mergeCell ref="A20:K20"/>
    <x:mergeCell ref="A21:K21"/>
    <x:mergeCell ref="A23:K23"/>
    <x:mergeCell ref="A24:K24"/>
    <x:mergeCell ref="A26:K26"/>
    <x:mergeCell ref="A27:K27"/>
    <x:mergeCell ref="A29:K29"/>
    <x:mergeCell ref="C35:K35"/>
    <x:mergeCell ref="A37:K37"/>
    <x:mergeCell ref="A39:K39"/>
    <x:mergeCell ref="A41:K41"/>
  </x:mergeCells>
  <x:dataValidations count="1">
    <x:dataValidation type="list" sqref="B35">
      <x:formula1>"审慎,基准,乐观"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55" hidden="0" customWidth="1"/>
    <x:col min="11" max="11" width="16" hidden="0" customWidth="1"/>
    <x:col min="12" max="12" width="27" hidden="0" customWidth="1"/>
    <x:col min="13" max="13" width="27" hidden="0" customWidth="1"/>
  </x:cols>
  <x:sheetData>
    <x:row r="1" ht="32" customHeight="1">
      <x:c r="A1" s="172" t="str">
        <x:v>分规格输入：端口、带宽与结构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245"/>
    </x:row>
    <x:row r="2" ht="28" customHeight="1">
      <x:c r="A2" s="174" t="str">
        <x:v>蓝色为输入；OCS分小/大端口，CPO分102.4T/204.8T。份额提升为百分点，不是倍数。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245"/>
    </x:row>
    <x:row r="3">
      <x:c r="A3" s="176" t="str">
        <x:v>参数ID</x:v>
      </x:c>
      <x:c r="B3" s="176" t="str">
        <x:v>参数</x:v>
      </x:c>
      <x:c r="C3" s="176" t="str">
        <x:v>单位</x:v>
      </x:c>
      <x:c r="D3" s="176" t="str">
        <x:v>口径</x:v>
      </x:c>
      <x:c r="E3" s="176" t="str">
        <x:v>2026E</x:v>
      </x:c>
      <x:c r="F3" s="176" t="str">
        <x:v>2027E</x:v>
      </x:c>
      <x:c r="G3" s="176" t="str">
        <x:v>2028E</x:v>
      </x:c>
      <x:c r="H3" s="176" t="str">
        <x:v>2029E</x:v>
      </x:c>
      <x:c r="I3" s="176" t="str">
        <x:v>2030E</x:v>
      </x:c>
      <x:c r="J3" s="176" t="str">
        <x:v>说明</x:v>
      </x:c>
      <x:c r="K3" s="245"/>
      <x:c r="L3" s="245"/>
      <x:c r="M3" s="245"/>
      <x:c r="N3" s="245"/>
    </x:row>
    <x:row r="4">
      <x:c r="A4" s="240" t="str">
        <x:v>OCS_SMALL_CHANNELS</x:v>
      </x:c>
      <x:c r="B4" s="240" t="str">
        <x:v>小端口总光通道</x:v>
      </x:c>
      <x:c r="C4" s="240" t="str">
        <x:v>通道/台</x:v>
      </x:c>
      <x:c r="D4" s="240" t="str">
        <x:v>参考规格</x:v>
      </x:c>
      <x:c r="E4" s="203" t="n">
        <x:v>256</x:v>
      </x:c>
      <x:c r="F4" s="205" t="n">
        <x:f>$E$4</x:f>
        <x:v>256</x:v>
      </x:c>
      <x:c r="G4" s="205" t="n">
        <x:f>$E$4</x:f>
        <x:v>256</x:v>
      </x:c>
      <x:c r="H4" s="205" t="n">
        <x:f>$E$4</x:f>
        <x:v>256</x:v>
      </x:c>
      <x:c r="I4" s="205" t="n">
        <x:f>$E$4</x:f>
        <x:v>256</x:v>
      </x:c>
      <x:c r="J4" s="240" t="str">
        <x:v>128×128参考系统；总光通道含输入和输出。E4为跨年公共输入</x:v>
      </x:c>
      <x:c r="K4" s="245"/>
      <x:c r="L4" s="176" t="str">
        <x:v>情景</x:v>
      </x:c>
      <x:c r="M4" s="176" t="str">
        <x:v>小端口OCS初价（元/通道）</x:v>
      </x:c>
      <x:c r="N4" s="245"/>
    </x:row>
    <x:row r="5">
      <x:c r="A5" s="240" t="str">
        <x:v>OCS_LARGE_MIX</x:v>
      </x:c>
      <x:c r="B5" s="240" t="str">
        <x:v>OCS大端口出货占比</x:v>
      </x:c>
      <x:c r="C5" s="240" t="str">
        <x:v>%</x:v>
      </x:c>
      <x:c r="D5" s="240" t="str">
        <x:v>研究假设</x:v>
      </x:c>
      <x:c r="E5" s="202" t="n">
        <x:v>0.25</x:v>
      </x:c>
      <x:c r="F5" s="202" t="n">
        <x:v>0.4</x:v>
      </x:c>
      <x:c r="G5" s="202" t="n">
        <x:v>0.55</x:v>
      </x:c>
      <x:c r="H5" s="202" t="n">
        <x:v>0.65</x:v>
      </x:c>
      <x:c r="I5" s="202" t="n">
        <x:v>0.75</x:v>
      </x:c>
      <x:c r="J5" s="240" t="str">
        <x:v>大端口台数＝总OCS台数×本行，小端口取余数</x:v>
      </x:c>
      <x:c r="K5" s="245"/>
      <x:c r="L5" s="240" t="str">
        <x:v>审慎情形</x:v>
      </x:c>
      <x:c r="M5" s="199" t="n">
        <x:v>15</x:v>
      </x:c>
      <x:c r="N5" s="245"/>
    </x:row>
    <x:row r="6">
      <x:c r="A6" s="240" t="str">
        <x:v>CPO_204_MIX</x:v>
      </x:c>
      <x:c r="B6" s="240" t="str">
        <x:v>204.8T交换系统占比</x:v>
      </x:c>
      <x:c r="C6" s="240" t="str">
        <x:v>%</x:v>
      </x:c>
      <x:c r="D6" s="240" t="str">
        <x:v>研究假设</x:v>
      </x:c>
      <x:c r="E6" s="202" t="n">
        <x:v>0</x:v>
      </x:c>
      <x:c r="F6" s="202" t="n">
        <x:v>0</x:v>
      </x:c>
      <x:c r="G6" s="202" t="n">
        <x:v>0.4</x:v>
      </x:c>
      <x:c r="H6" s="202" t="n">
        <x:v>0.65</x:v>
      </x:c>
      <x:c r="I6" s="202" t="n">
        <x:v>0.8</x:v>
      </x:c>
      <x:c r="J6" s="240" t="str">
        <x:v>总CPO交换机台数的产品结构；102.4T取余数</x:v>
      </x:c>
      <x:c r="K6" s="245"/>
      <x:c r="L6" s="240" t="str">
        <x:v>基准情形</x:v>
      </x:c>
      <x:c r="M6" s="199" t="n">
        <x:v>20</x:v>
      </x:c>
      <x:c r="N6" s="245"/>
    </x:row>
    <x:row r="7">
      <x:c r="A7" s="240" t="str">
        <x:v>CPO_LOW_PRICE</x:v>
      </x:c>
      <x:c r="B7" s="240" t="str">
        <x:v>102.4T价格系数</x:v>
      </x:c>
      <x:c r="C7" s="240" t="str">
        <x:v>倍</x:v>
      </x:c>
      <x:c r="D7" s="240" t="str">
        <x:v>规格价差</x:v>
      </x:c>
      <x:c r="E7" s="203" t="n">
        <x:v>0.8</x:v>
      </x:c>
      <x:c r="F7" s="205" t="n">
        <x:f>$E$7</x:f>
        <x:v>0.8</x:v>
      </x:c>
      <x:c r="G7" s="205" t="n">
        <x:f>$E$7</x:f>
        <x:v>0.8</x:v>
      </x:c>
      <x:c r="H7" s="205" t="n">
        <x:f>$E$7</x:f>
        <x:v>0.8</x:v>
      </x:c>
      <x:c r="I7" s="205" t="n">
        <x:f>$E$7</x:f>
        <x:v>0.8</x:v>
      </x:c>
      <x:c r="J7" s="240" t="str">
        <x:v>高规格原价×本系数；不改变后续降价曲线</x:v>
      </x:c>
      <x:c r="K7" s="245"/>
      <x:c r="L7" s="240" t="str">
        <x:v>乐观情形</x:v>
      </x:c>
      <x:c r="M7" s="199" t="n">
        <x:v>25</x:v>
      </x:c>
      <x:c r="N7" s="245"/>
    </x:row>
    <x:row r="8">
      <x:c r="A8" s="240" t="str">
        <x:v>HIGH_SHARE_UPLIFT</x:v>
      </x:c>
      <x:c r="B8" s="240" t="str">
        <x:v>高规格基础份额增量</x:v>
      </x:c>
      <x:c r="C8" s="240" t="str">
        <x:v>百分点</x:v>
      </x:c>
      <x:c r="D8" s="240" t="str">
        <x:v>研究假设</x:v>
      </x:c>
      <x:c r="E8" s="202" t="n">
        <x:v>0.05</x:v>
      </x:c>
      <x:c r="F8" s="206" t="n">
        <x:f>$E$8</x:f>
        <x:v>0.05</x:v>
      </x:c>
      <x:c r="G8" s="206" t="n">
        <x:f>$E$8</x:f>
        <x:v>0.05</x:v>
      </x:c>
      <x:c r="H8" s="206" t="n">
        <x:f>$E$8</x:f>
        <x:v>0.05</x:v>
      </x:c>
      <x:c r="I8" s="206" t="n">
        <x:f>$E$8</x:f>
        <x:v>0.05</x:v>
      </x:c>
      <x:c r="J8" s="240" t="str">
        <x:v>大端口/204.8T在基础份额上增加，先封顶再乘情形系数；棱镜固定45%</x:v>
      </x:c>
      <x:c r="K8" s="245"/>
      <x:c r="L8" s="245"/>
      <x:c r="M8" s="245"/>
      <x:c r="N8" s="245"/>
    </x:row>
    <x:row r="9">
      <x:c r="A9" s="240" t="str">
        <x:v>CPO_HIGH_CHANNELS</x:v>
      </x:c>
      <x:c r="B9" s="240" t="str">
        <x:v>204.8T每FAU通道</x:v>
      </x:c>
      <x:c r="C9" s="240" t="str">
        <x:v>通道/FAU</x:v>
      </x:c>
      <x:c r="D9" s="240" t="str">
        <x:v>结构参数</x:v>
      </x:c>
      <x:c r="E9" s="203" t="n">
        <x:v>72</x:v>
      </x:c>
      <x:c r="F9" s="205" t="n">
        <x:f>$E$9</x:f>
        <x:v>72</x:v>
      </x:c>
      <x:c r="G9" s="205" t="n">
        <x:f>$E$9</x:f>
        <x:v>72</x:v>
      </x:c>
      <x:c r="H9" s="205" t="n">
        <x:f>$E$9</x:f>
        <x:v>72</x:v>
      </x:c>
      <x:c r="I9" s="205" t="n">
        <x:f>$E$9</x:f>
        <x:v>72</x:v>
      </x:c>
      <x:c r="J9" s="240" t="str">
        <x:v>每机FAU仍为32只，不与每只通道数混淆</x:v>
      </x:c>
      <x:c r="K9" s="245"/>
      <x:c r="L9" s="245" t="str">
        <x:v>大端口OCS初价</x:v>
      </x:c>
      <x:c r="M9" s="245" t="str">
        <x:v>见机会输入I35:I37</x:v>
      </x:c>
      <x:c r="N9" s="245"/>
    </x:row>
    <x:row r="10">
      <x:c r="A10" s="240" t="str">
        <x:v>EQUIP_FAU_CAPACITY</x:v>
      </x:c>
      <x:c r="B10" s="240" t="str">
        <x:v>每台量测设备覆盖FAU</x:v>
      </x:c>
      <x:c r="C10" s="240" t="str">
        <x:v>只FAU/台</x:v>
      </x:c>
      <x:c r="D10" s="240" t="str">
        <x:v>产能配置</x:v>
      </x:c>
      <x:c r="E10" s="203" t="n">
        <x:v>1000</x:v>
      </x:c>
      <x:c r="F10" s="205" t="n">
        <x:f>$E$10</x:f>
        <x:v>1000</x:v>
      </x:c>
      <x:c r="G10" s="205" t="n">
        <x:f>$E$10</x:f>
        <x:v>1000</x:v>
      </x:c>
      <x:c r="H10" s="205" t="n">
        <x:f>$E$10</x:f>
        <x:v>1000</x:v>
      </x:c>
      <x:c r="I10" s="205" t="n">
        <x:f>$E$10</x:f>
        <x:v>1000</x:v>
      </x:c>
      <x:c r="J10" s="240" t="str">
        <x:v>设备量＝交换机出货量×32÷1000，是年度产能需求推演</x:v>
      </x:c>
      <x:c r="K10" s="245"/>
      <x:c r="L10" s="245"/>
      <x:c r="M10" s="245"/>
      <x:c r="N10" s="245"/>
    </x:row>
    <x:row r="11">
      <x:c r="A11" s="245"/>
      <x:c r="B11" s="245"/>
      <x:c r="C11" s="245"/>
      <x:c r="D11" s="245"/>
      <x:c r="E11" s="245"/>
      <x:c r="F11" s="245"/>
      <x:c r="G11" s="245"/>
      <x:c r="H11" s="245"/>
      <x:c r="I11" s="245"/>
      <x:c r="J11" s="245"/>
      <x:c r="K11" s="245"/>
      <x:c r="L11" s="245"/>
      <x:c r="M11" s="245"/>
      <x:c r="N11" s="245"/>
    </x:row>
    <x:row r="12" ht="44" customHeight="1">
      <x:c r="A12" s="198" t="str">
        <x:v>小端口20元、大端口40元是基准初始通道价；实际单机价值按端口结构、规格混合与年度价格计算。所有出货量在规格明细拆分，汇总行只计一次。</x:v>
      </x:c>
      <x:c r="B12" s="198"/>
      <x:c r="C12" s="198"/>
      <x:c r="D12" s="198"/>
      <x:c r="E12" s="198"/>
      <x:c r="F12" s="198"/>
      <x:c r="G12" s="198"/>
      <x:c r="H12" s="198"/>
      <x:c r="I12" s="198"/>
      <x:c r="J12" s="198"/>
      <x:c r="K12" s="198"/>
      <x:c r="L12" s="198"/>
      <x:c r="M12" s="198"/>
      <x:c r="N12" s="245"/>
    </x:row>
    <x:row r="13">
      <x:c r="A13" s="245"/>
      <x:c r="B13" s="245"/>
      <x:c r="C13" s="245"/>
      <x:c r="D13" s="245"/>
      <x:c r="E13" s="245"/>
      <x:c r="F13" s="245"/>
      <x:c r="G13" s="245"/>
      <x:c r="H13" s="245"/>
      <x:c r="I13" s="245"/>
      <x:c r="J13" s="245"/>
      <x:c r="K13" s="245"/>
      <x:c r="L13" s="245"/>
      <x:c r="M13" s="245"/>
      <x:c r="N13" s="245"/>
    </x:row>
    <x:row r="14">
      <x:c r="A14" s="245"/>
      <x:c r="B14" s="245"/>
      <x:c r="C14" s="245"/>
      <x:c r="D14" s="245"/>
      <x:c r="E14" s="245"/>
      <x:c r="F14" s="245"/>
      <x:c r="G14" s="245"/>
      <x:c r="H14" s="245"/>
      <x:c r="I14" s="245"/>
      <x:c r="J14" s="245"/>
      <x:c r="K14" s="245"/>
      <x:c r="L14" s="245"/>
      <x:c r="M14" s="245"/>
      <x:c r="N14" s="245"/>
    </x:row>
  </x:sheetData>
  <x:mergeCells>
    <x:mergeCell ref="A1:M1"/>
    <x:mergeCell ref="A2:M2"/>
    <x:mergeCell ref="A12:M12"/>
  </x:mergeCells>
  <x:dataValidations count="6">
    <x:dataValidation type="decimal" operator="between" sqref="E5:I6">
      <x:formula1>0</x:formula1>
      <x:formula2>1</x:formula2>
    </x:dataValidation>
    <x:dataValidation type="decimal" operator="between" sqref="E8">
      <x:formula1>0</x:formula1>
      <x:formula2>1</x:formula2>
    </x:dataValidation>
    <x:dataValidation type="whole" operator="between" sqref="E4">
      <x:formula1>2</x:formula1>
      <x:formula2>640</x:formula2>
    </x:dataValidation>
    <x:dataValidation type="decimal" operator="between" sqref="E7">
      <x:formula1>0</x:formula1>
      <x:formula2>1</x:formula2>
    </x:dataValidation>
    <x:dataValidation type="whole" operator="between" sqref="E9:E10">
      <x:formula1>1</x:formula1>
      <x:formula2>100000</x:formula2>
    </x:dataValidation>
    <x:dataValidation type="decimal" operator="between" sqref="M5:M7">
      <x:formula1>0</x:formula1>
      <x:formula2>1000</x:formula2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32" customHeight="1">
      <x:c r="A1" s="172" t="str">
        <x:v>出货量×单机用量：分规格计算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245"/>
    </x:row>
    <x:row r="2" ht="28" customHeight="1">
      <x:c r="A2" s="174" t="str">
        <x:v>规格行独立计算价格、数量、份额；七条产品线由本表求和。金额单位亿元，基本数量不含公司份额。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245"/>
    </x:row>
    <x:row r="3">
      <x:c r="A3" s="245"/>
      <x:c r="B3" s="245"/>
      <x:c r="C3" s="245"/>
      <x:c r="D3" s="245"/>
      <x:c r="E3" s="245"/>
      <x:c r="F3" s="245"/>
      <x:c r="G3" s="245"/>
      <x:c r="H3" s="245"/>
      <x:c r="I3" s="245"/>
      <x:c r="J3" s="245"/>
      <x:c r="K3" s="245"/>
      <x:c r="L3" s="245"/>
      <x:c r="M3" s="245"/>
      <x:c r="N3" s="245"/>
    </x:row>
    <x:row r="4">
      <x:c r="A4" s="176" t="str">
        <x:v>审慎情形</x:v>
      </x:c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245"/>
    </x:row>
    <x:row r="5">
      <x:c r="A5" s="176" t="str">
        <x:v>年度</x:v>
      </x:c>
      <x:c r="B5" s="176" t="str">
        <x:v>产品线</x:v>
      </x:c>
      <x:c r="C5" s="176" t="str">
        <x:v>规格</x:v>
      </x:c>
      <x:c r="D5" s="176" t="str">
        <x:v>出货量（万台/万只）</x:v>
      </x:c>
      <x:c r="E5" s="176" t="str">
        <x:v>单位用量</x:v>
      </x:c>
      <x:c r="F5" s="176" t="str">
        <x:v>基本单位</x:v>
      </x:c>
      <x:c r="G5" s="176" t="str">
        <x:v>组件总量</x:v>
      </x:c>
      <x:c r="H5" s="176" t="str">
        <x:v>初始单价</x:v>
      </x:c>
      <x:c r="I5" s="176" t="str">
        <x:v>有效单价</x:v>
      </x:c>
      <x:c r="J5" s="176" t="str">
        <x:v>公司份额</x:v>
      </x:c>
      <x:c r="K5" s="176" t="str">
        <x:v>行业空间（亿元）</x:v>
      </x:c>
      <x:c r="L5" s="176" t="str">
        <x:v>理论收入（亿元）</x:v>
      </x:c>
      <x:c r="M5" s="176" t="str">
        <x:v>产品净利润（亿元）</x:v>
      </x:c>
      <x:c r="N5" s="245"/>
    </x:row>
    <x:row r="6">
      <x:c r="A6" s="240" t="str">
        <x:v>2026E</x:v>
      </x:c>
      <x:c r="B6" s="240" t="str">
        <x:v>800G可插拔透镜</x:v>
      </x:c>
      <x:c r="C6" s="240" t="str">
        <x:v>800G</x:v>
      </x:c>
      <x:c r="D6" s="248" t="n">
        <x:f>'机会输入'!E7*MAX(0,'机会输入'!$B$35)*1</x:f>
        <x:v>5600</x:v>
      </x:c>
      <x:c r="E6" s="248" t="n">
        <x:f>'机会输入'!E6</x:f>
        <x:v>10</x:v>
      </x:c>
      <x:c r="F6" s="249" t="str">
        <x:v>只透镜</x:v>
      </x:c>
      <x:c r="G6" s="242" t="n">
        <x:f>D6*10000*E6</x:f>
        <x:v>560000000</x:v>
      </x:c>
      <x:c r="H6" s="249" t="n">
        <x:f>('机会输入'!E8)*MAX(0,'机会输入'!$C$35)</x:f>
        <x:v>3.4</x:v>
      </x:c>
      <x:c r="I6" s="249" t="n">
        <x:f>H6*MAX(0,'机会输入'!E32)</x:f>
        <x:v>3.4</x:v>
      </x:c>
      <x:c r="J6" s="250" t="n">
        <x:f>MAX(0,MIN(1,MAX(0,MIN(1,'机会输入'!E11))*MAX(0,'机会输入'!$D$35)))</x:f>
        <x:v>0.035</x:v>
      </x:c>
      <x:c r="K6" s="249" t="n">
        <x:f>G6*I6/100000000</x:f>
        <x:v>19.04</x:v>
      </x:c>
      <x:c r="L6" s="249" t="n">
        <x:f>K6*J6</x:f>
        <x:v>0.6664</x:v>
      </x:c>
      <x:c r="M6" s="249" t="n">
        <x:f>L6*'机会输入'!E4</x:f>
        <x:v>0.219912</x:v>
      </x:c>
      <x:c r="N6" s="245"/>
    </x:row>
    <x:row r="7">
      <x:c r="A7" s="240" t="str">
        <x:v>2026E</x:v>
      </x:c>
      <x:c r="B7" s="240" t="str">
        <x:v>1.6T可插拔透镜</x:v>
      </x:c>
      <x:c r="C7" s="240" t="str">
        <x:v>1.6T</x:v>
      </x:c>
      <x:c r="D7" s="248" t="n">
        <x:f>'机会输入'!E9*MAX(0,'机会输入'!$B$35)*1</x:f>
        <x:v>1880</x:v>
      </x:c>
      <x:c r="E7" s="248" t="n">
        <x:f>'机会输入'!E6</x:f>
        <x:v>10</x:v>
      </x:c>
      <x:c r="F7" s="249" t="str">
        <x:v>只透镜</x:v>
      </x:c>
      <x:c r="G7" s="242" t="n">
        <x:f>D7*10000*E7</x:f>
        <x:v>188000000</x:v>
      </x:c>
      <x:c r="H7" s="249" t="n">
        <x:f>('机会输入'!E10)*MAX(0,'机会输入'!$C$35)</x:f>
        <x:v>4.76</x:v>
      </x:c>
      <x:c r="I7" s="249" t="n">
        <x:f>H7*MAX(0,'机会输入'!E32)</x:f>
        <x:v>4.76</x:v>
      </x:c>
      <x:c r="J7" s="250" t="n">
        <x:f>MAX(0,MIN(1,MAX(0,MIN(1,'机会输入'!E11))*MAX(0,'机会输入'!$D$35)))</x:f>
        <x:v>0.035</x:v>
      </x:c>
      <x:c r="K7" s="249" t="n">
        <x:f>G7*I7/100000000</x:f>
        <x:v>8.9488</x:v>
      </x:c>
      <x:c r="L7" s="249" t="n">
        <x:f>K7*J7</x:f>
        <x:v>0.31320800000000004</x:v>
      </x:c>
      <x:c r="M7" s="249" t="n">
        <x:f>L7*'机会输入'!E4</x:f>
        <x:v>0.10335864000000002</x:v>
      </x:c>
      <x:c r="N7" s="245"/>
    </x:row>
    <x:row r="8">
      <x:c r="A8" s="240" t="str">
        <x:v>2026E</x:v>
      </x:c>
      <x:c r="B8" s="240" t="str">
        <x:v>OCS NxN透镜阵列</x:v>
      </x:c>
      <x:c r="C8" s="240" t="str">
        <x:v>小端口参考系统</x:v>
      </x:c>
      <x:c r="D8" s="248" t="n">
        <x:f>'机会输入'!E12*MAX(0,'机会输入'!$B$35)*(1-MAX(0,MIN(1,'规格输入'!E5)))</x:f>
        <x:v>1.5</x:v>
      </x:c>
      <x:c r="E8" s="248" t="n">
        <x:f>'规格输入'!$E$4</x:f>
        <x:v>256</x:v>
      </x:c>
      <x:c r="F8" s="249" t="str">
        <x:v>总光通道</x:v>
      </x:c>
      <x:c r="G8" s="242" t="n">
        <x:f>D8*10000*E8</x:f>
        <x:v>3840000</x:v>
      </x:c>
      <x:c r="H8" s="249" t="n">
        <x:f>'规格输入'!$M$5</x:f>
        <x:v>15</x:v>
      </x:c>
      <x:c r="I8" s="249" t="n">
        <x:f>H8*MAX(0,'机会输入'!E5)</x:f>
        <x:v>15</x:v>
      </x:c>
      <x:c r="J8" s="250" t="n">
        <x:f>MAX(0,MIN(1,MAX(0,MIN(1,'机会输入'!E15))*MAX(0,'机会输入'!$D$35)))</x:f>
        <x:v>0.7875</x:v>
      </x:c>
      <x:c r="K8" s="249" t="n">
        <x:f>G8*I8/100000000</x:f>
        <x:v>0.576</x:v>
      </x:c>
      <x:c r="L8" s="249" t="n">
        <x:f>K8*J8</x:f>
        <x:v>0.45359999999999995</x:v>
      </x:c>
      <x:c r="M8" s="249" t="n">
        <x:f>L8*'机会输入'!E4</x:f>
        <x:v>0.149688</x:v>
      </x:c>
      <x:c r="N8" s="245"/>
    </x:row>
    <x:row r="9">
      <x:c r="A9" s="240" t="str">
        <x:v>2026E</x:v>
      </x:c>
      <x:c r="B9" s="240" t="str">
        <x:v>OCS NxN透镜阵列</x:v>
      </x:c>
      <x:c r="C9" s="240" t="str">
        <x:v>大端口320×320</x:v>
      </x:c>
      <x:c r="D9" s="248" t="n">
        <x:f>'机会输入'!E12*MAX(0,'机会输入'!$B$35)*MAX(0,MIN(1,'规格输入'!E5))</x:f>
        <x:v>0.5</x:v>
      </x:c>
      <x:c r="E9" s="248" t="n">
        <x:f>'机会输入'!E13</x:f>
        <x:v>640</x:v>
      </x:c>
      <x:c r="F9" s="249" t="str">
        <x:v>总光通道</x:v>
      </x:c>
      <x:c r="G9" s="242" t="n">
        <x:f>D9*10000*E9</x:f>
        <x:v>3200000</x:v>
      </x:c>
      <x:c r="H9" s="249" t="n">
        <x:f>'机会输入'!$I$35</x:f>
        <x:v>30</x:v>
      </x:c>
      <x:c r="I9" s="249" t="n">
        <x:f>H9*MAX(0,'机会输入'!E5)</x:f>
        <x:v>30</x:v>
      </x:c>
      <x:c r="J9" s="250" t="n">
        <x:f>MAX(0,MIN(1,MAX(0,MIN(1,'机会输入'!E15+'规格输入'!$E$8))*MAX(0,'机会输入'!$D$35)))</x:f>
        <x:v>0.83125</x:v>
      </x:c>
      <x:c r="K9" s="249" t="n">
        <x:f>G9*I9/100000000</x:f>
        <x:v>0.96</x:v>
      </x:c>
      <x:c r="L9" s="249" t="n">
        <x:f>K9*J9</x:f>
        <x:v>0.798</x:v>
      </x:c>
      <x:c r="M9" s="249" t="n">
        <x:f>L9*'机会输入'!E4</x:f>
        <x:v>0.26334</x:v>
      </x:c>
      <x:c r="N9" s="245"/>
    </x:row>
    <x:row r="10">
      <x:c r="A10" s="240" t="str">
        <x:v>2026E</x:v>
      </x:c>
      <x:c r="B10" s="240" t="str">
        <x:v>FAU V型槽</x:v>
      </x:c>
      <x:c r="C10" s="240" t="str">
        <x:v>102.4T</x:v>
      </x:c>
      <x:c r="D10" s="248" t="n">
        <x:f>'机会输入'!E16*MAX(0,'机会输入'!$B$35)*(1-MAX(0,MIN(1,'规格输入'!E6)))</x:f>
        <x:v>2</x:v>
      </x:c>
      <x:c r="E10" s="248" t="n">
        <x:f>'机会输入'!E17*'机会输入'!E18</x:f>
        <x:v>1152</x:v>
      </x:c>
      <x:c r="F10" s="249" t="str">
        <x:v>通道</x:v>
      </x:c>
      <x:c r="G10" s="242" t="n">
        <x:f>D10*10000*E10</x:f>
        <x:v>23040000</x:v>
      </x:c>
      <x:c r="H10" s="249" t="n">
        <x:f>('机会输入'!E19)*MAX(0,'机会输入'!$C$35)*'规格输入'!$E$7</x:f>
        <x:v>7.616</x:v>
      </x:c>
      <x:c r="I10" s="249" t="n">
        <x:f>H10*MAX(0,'机会输入'!E5)</x:f>
        <x:v>7.616</x:v>
      </x:c>
      <x:c r="J10" s="250" t="n">
        <x:f>MAX(0,MIN(1,MAX(0,MIN(1,'机会输入'!E20))*MAX(0,'机会输入'!$D$35)))</x:f>
        <x:v>0.39375</x:v>
      </x:c>
      <x:c r="K10" s="249" t="n">
        <x:f>G10*I10/100000000</x:f>
        <x:v>1.7547264</x:v>
      </x:c>
      <x:c r="L10" s="249" t="n">
        <x:f>K10*J10</x:f>
        <x:v>0.69092352</x:v>
      </x:c>
      <x:c r="M10" s="249" t="n">
        <x:f>L10*'机会输入'!E4</x:f>
        <x:v>0.22800476160000002</x:v>
      </x:c>
      <x:c r="N10" s="245"/>
    </x:row>
    <x:row r="11">
      <x:c r="A11" s="240" t="str">
        <x:v>2026E</x:v>
      </x:c>
      <x:c r="B11" s="240" t="str">
        <x:v>FAU V型槽</x:v>
      </x:c>
      <x:c r="C11" s="240" t="str">
        <x:v>204.8T</x:v>
      </x:c>
      <x:c r="D11" s="248" t="n">
        <x:f>'机会输入'!E16*MAX(0,'机会输入'!$B$35)*MAX(0,MIN(1,'规格输入'!E6))</x:f>
        <x:v>0</x:v>
      </x:c>
      <x:c r="E11" s="248" t="n">
        <x:f>'机会输入'!E17*'规格输入'!$E$9</x:f>
        <x:v>2304</x:v>
      </x:c>
      <x:c r="F11" s="249" t="str">
        <x:v>通道</x:v>
      </x:c>
      <x:c r="G11" s="242" t="n">
        <x:f>D11*10000*E11</x:f>
        <x:v>0</x:v>
      </x:c>
      <x:c r="H11" s="249" t="n">
        <x:f>('机会输入'!E19)*MAX(0,'机会输入'!$C$35)</x:f>
        <x:v>9.52</x:v>
      </x:c>
      <x:c r="I11" s="249" t="n">
        <x:f>H11*MAX(0,'机会输入'!E5)</x:f>
        <x:v>9.52</x:v>
      </x:c>
      <x:c r="J11" s="250" t="n">
        <x:f>MAX(0,MIN(1,MAX(0,MIN(1,'机会输入'!E20+'规格输入'!$E$8))*MAX(0,'机会输入'!$D$35)))</x:f>
        <x:v>0.4375</x:v>
      </x:c>
      <x:c r="K11" s="249" t="n">
        <x:f>G11*I11/100000000</x:f>
        <x:v>0</x:v>
      </x:c>
      <x:c r="L11" s="249" t="n">
        <x:f>K11*J11</x:f>
        <x:v>0</x:v>
      </x:c>
      <x:c r="M11" s="249" t="n">
        <x:f>L11*'机会输入'!E4</x:f>
        <x:v>0</x:v>
      </x:c>
      <x:c r="N11" s="245"/>
    </x:row>
    <x:row r="12">
      <x:c r="A12" s="240" t="str">
        <x:v>2026E</x:v>
      </x:c>
      <x:c r="B12" s="240" t="str">
        <x:v>FAU棱镜透镜阵列</x:v>
      </x:c>
      <x:c r="C12" s="240" t="str">
        <x:v>102.4T</x:v>
      </x:c>
      <x:c r="D12" s="248" t="n">
        <x:f>'机会输入'!E16*MAX(0,'机会输入'!$B$35)*(1-MAX(0,MIN(1,'规格输入'!E6)))</x:f>
        <x:v>2</x:v>
      </x:c>
      <x:c r="E12" s="248" t="n">
        <x:f>'机会输入'!E21*'机会输入'!E22</x:f>
        <x:v>1152</x:v>
      </x:c>
      <x:c r="F12" s="249" t="str">
        <x:v>通道</x:v>
      </x:c>
      <x:c r="G12" s="242" t="n">
        <x:f>D12*10000*E12</x:f>
        <x:v>23040000</x:v>
      </x:c>
      <x:c r="H12" s="249" t="n">
        <x:f>('机会输入'!E23)*MAX(0,'机会输入'!$C$35)*'规格输入'!$E$7</x:f>
        <x:v>10.88</x:v>
      </x:c>
      <x:c r="I12" s="249" t="n">
        <x:f>H12*MAX(0,'机会输入'!E5)</x:f>
        <x:v>10.88</x:v>
      </x:c>
      <x:c r="J12" s="250" t="n">
        <x:f>'机会输入'!E24</x:f>
        <x:v>0.45</x:v>
      </x:c>
      <x:c r="K12" s="249" t="n">
        <x:f>G12*I12/100000000</x:f>
        <x:v>2.506752</x:v>
      </x:c>
      <x:c r="L12" s="249" t="n">
        <x:f>K12*J12</x:f>
        <x:v>1.1280384</x:v>
      </x:c>
      <x:c r="M12" s="249" t="n">
        <x:f>L12*'机会输入'!E4</x:f>
        <x:v>0.37225267200000006</x:v>
      </x:c>
      <x:c r="N12" s="245"/>
    </x:row>
    <x:row r="13">
      <x:c r="A13" s="240" t="str">
        <x:v>2026E</x:v>
      </x:c>
      <x:c r="B13" s="240" t="str">
        <x:v>FAU棱镜透镜阵列</x:v>
      </x:c>
      <x:c r="C13" s="240" t="str">
        <x:v>204.8T</x:v>
      </x:c>
      <x:c r="D13" s="248" t="n">
        <x:f>'机会输入'!E16*MAX(0,'机会输入'!$B$35)*MAX(0,MIN(1,'规格输入'!E6))</x:f>
        <x:v>0</x:v>
      </x:c>
      <x:c r="E13" s="248" t="n">
        <x:f>'机会输入'!E21*'规格输入'!$E$9</x:f>
        <x:v>2304</x:v>
      </x:c>
      <x:c r="F13" s="249" t="str">
        <x:v>通道</x:v>
      </x:c>
      <x:c r="G13" s="242" t="n">
        <x:f>D13*10000*E13</x:f>
        <x:v>0</x:v>
      </x:c>
      <x:c r="H13" s="249" t="n">
        <x:f>('机会输入'!E23)*MAX(0,'机会输入'!$C$35)</x:f>
        <x:v>13.6</x:v>
      </x:c>
      <x:c r="I13" s="249" t="n">
        <x:f>H13*MAX(0,'机会输入'!E5)</x:f>
        <x:v>13.6</x:v>
      </x:c>
      <x:c r="J13" s="250" t="n">
        <x:f>'机会输入'!E24</x:f>
        <x:v>0.45</x:v>
      </x:c>
      <x:c r="K13" s="249" t="n">
        <x:f>G13*I13/100000000</x:f>
        <x:v>0</x:v>
      </x:c>
      <x:c r="L13" s="249" t="n">
        <x:f>K13*J13</x:f>
        <x:v>0</x:v>
      </x:c>
      <x:c r="M13" s="249" t="n">
        <x:f>L13*'机会输入'!E4</x:f>
        <x:v>0</x:v>
      </x:c>
      <x:c r="N13" s="245"/>
    </x:row>
    <x:row r="14">
      <x:c r="A14" s="240" t="str">
        <x:v>2026E</x:v>
      </x:c>
      <x:c r="B14" s="240" t="str">
        <x:v>ELS透镜＋热沉</x:v>
      </x:c>
      <x:c r="C14" s="240" t="str">
        <x:v>102.4T</x:v>
      </x:c>
      <x:c r="D14" s="248" t="n">
        <x:f>'机会输入'!E16*MAX(0,'机会输入'!$B$35)*(1-MAX(0,MIN(1,'规格输入'!E6)))</x:f>
        <x:v>2</x:v>
      </x:c>
      <x:c r="E14" s="248" t="n">
        <x:f>'机会输入'!E25</x:f>
        <x:v>128</x:v>
      </x:c>
      <x:c r="F14" s="249" t="str">
        <x:v>套光源配套</x:v>
      </x:c>
      <x:c r="G14" s="242" t="n">
        <x:f>D14*10000*E14</x:f>
        <x:v>2560000</x:v>
      </x:c>
      <x:c r="H14" s="249" t="n">
        <x:f>('机会输入'!E26+'机会输入'!E27)*MAX(0,'机会输入'!$C$35)*'规格输入'!$E$7</x:f>
        <x:v>54.400000000000006</x:v>
      </x:c>
      <x:c r="I14" s="249" t="n">
        <x:f>H14*MAX(0,'机会输入'!E5)</x:f>
        <x:v>54.400000000000006</x:v>
      </x:c>
      <x:c r="J14" s="250" t="n">
        <x:f>MAX(0,MIN(1,MAX(0,MIN(1,'机会输入'!E28))*MAX(0,'机会输入'!$D$35)))</x:f>
        <x:v>0.39375</x:v>
      </x:c>
      <x:c r="K14" s="249" t="n">
        <x:f>G14*I14/100000000</x:f>
        <x:v>1.39264</x:v>
      </x:c>
      <x:c r="L14" s="249" t="n">
        <x:f>K14*J14</x:f>
        <x:v>0.5483520000000001</x:v>
      </x:c>
      <x:c r="M14" s="249" t="n">
        <x:f>L14*'机会输入'!E4</x:f>
        <x:v>0.18095616000000003</x:v>
      </x:c>
      <x:c r="N14" s="245"/>
    </x:row>
    <x:row r="15">
      <x:c r="A15" s="240" t="str">
        <x:v>2026E</x:v>
      </x:c>
      <x:c r="B15" s="240" t="str">
        <x:v>ELS透镜＋热沉</x:v>
      </x:c>
      <x:c r="C15" s="240" t="str">
        <x:v>204.8T</x:v>
      </x:c>
      <x:c r="D15" s="248" t="n">
        <x:f>'机会输入'!E16*MAX(0,'机会输入'!$B$35)*MAX(0,MIN(1,'规格输入'!E6))</x:f>
        <x:v>0</x:v>
      </x:c>
      <x:c r="E15" s="248" t="n">
        <x:f>'机会输入'!E25</x:f>
        <x:v>128</x:v>
      </x:c>
      <x:c r="F15" s="249" t="str">
        <x:v>套光源配套</x:v>
      </x:c>
      <x:c r="G15" s="242" t="n">
        <x:f>D15*10000*E15</x:f>
        <x:v>0</x:v>
      </x:c>
      <x:c r="H15" s="249" t="n">
        <x:f>('机会输入'!E26+'机会输入'!E27)*MAX(0,'机会输入'!$C$35)</x:f>
        <x:v>68</x:v>
      </x:c>
      <x:c r="I15" s="249" t="n">
        <x:f>H15*MAX(0,'机会输入'!E5)</x:f>
        <x:v>68</x:v>
      </x:c>
      <x:c r="J15" s="250" t="n">
        <x:f>MAX(0,MIN(1,MAX(0,MIN(1,'机会输入'!E28+'规格输入'!$E$8))*MAX(0,'机会输入'!$D$35)))</x:f>
        <x:v>0.4375</x:v>
      </x:c>
      <x:c r="K15" s="249" t="n">
        <x:f>G15*I15/100000000</x:f>
        <x:v>0</x:v>
      </x:c>
      <x:c r="L15" s="249" t="n">
        <x:f>K15*J15</x:f>
        <x:v>0</x:v>
      </x:c>
      <x:c r="M15" s="249" t="n">
        <x:f>L15*'机会输入'!E4</x:f>
        <x:v>0</x:v>
      </x:c>
      <x:c r="N15" s="245"/>
    </x:row>
    <x:row r="16">
      <x:c r="A16" s="240" t="str">
        <x:v>2026E</x:v>
      </x:c>
      <x:c r="B16" s="240" t="str">
        <x:v>FAU关键尺寸量测设备</x:v>
      </x:c>
      <x:c r="C16" s="240" t="str">
        <x:v>102.4T</x:v>
      </x:c>
      <x:c r="D16" s="248" t="n">
        <x:f>'机会输入'!E16*MAX(0,'机会输入'!$B$35)*(1-MAX(0,MIN(1,'规格输入'!E6)))</x:f>
        <x:v>2</x:v>
      </x:c>
      <x:c r="E16" s="248" t="n">
        <x:f>'机会输入'!E17/'规格输入'!$E$10</x:f>
        <x:v>0.032</x:v>
      </x:c>
      <x:c r="F16" s="249" t="str">
        <x:v>台设备</x:v>
      </x:c>
      <x:c r="G16" s="242" t="n">
        <x:f>D16*10000*E16</x:f>
        <x:v>640</x:v>
      </x:c>
      <x:c r="H16" s="249" t="n">
        <x:f>('机会输入'!E30)*MAX(0,'机会输入'!$C$35)*'规格输入'!$E$7</x:f>
        <x:v>54400</x:v>
      </x:c>
      <x:c r="I16" s="249" t="n">
        <x:f>H16</x:f>
        <x:v>54400</x:v>
      </x:c>
      <x:c r="J16" s="250" t="n">
        <x:f>MAX(0,MIN(1,MAX(0,MIN(1,'机会输入'!E31))*MAX(0,'机会输入'!$D$35)))</x:f>
        <x:v>0.08750000000000001</x:v>
      </x:c>
      <x:c r="K16" s="249" t="n">
        <x:f>G16*I16/100000000</x:f>
        <x:v>0.34816</x:v>
      </x:c>
      <x:c r="L16" s="249" t="n">
        <x:f>K16*J16</x:f>
        <x:v>0.030464000000000005</x:v>
      </x:c>
      <x:c r="M16" s="249" t="n">
        <x:f>L16*'机会输入'!E4</x:f>
        <x:v>0.010053120000000002</x:v>
      </x:c>
      <x:c r="N16" s="245"/>
    </x:row>
    <x:row r="17">
      <x:c r="A17" s="240" t="str">
        <x:v>2026E</x:v>
      </x:c>
      <x:c r="B17" s="240" t="str">
        <x:v>FAU关键尺寸量测设备</x:v>
      </x:c>
      <x:c r="C17" s="240" t="str">
        <x:v>204.8T</x:v>
      </x:c>
      <x:c r="D17" s="248" t="n">
        <x:f>'机会输入'!E16*MAX(0,'机会输入'!$B$35)*MAX(0,MIN(1,'规格输入'!E6))</x:f>
        <x:v>0</x:v>
      </x:c>
      <x:c r="E17" s="248" t="n">
        <x:f>'机会输入'!E17/'规格输入'!$E$10</x:f>
        <x:v>0.032</x:v>
      </x:c>
      <x:c r="F17" s="249" t="str">
        <x:v>台设备</x:v>
      </x:c>
      <x:c r="G17" s="242" t="n">
        <x:f>D17*10000*E17</x:f>
        <x:v>0</x:v>
      </x:c>
      <x:c r="H17" s="249" t="n">
        <x:f>('机会输入'!E30)*MAX(0,'机会输入'!$C$35)</x:f>
        <x:v>68000</x:v>
      </x:c>
      <x:c r="I17" s="249" t="n">
        <x:f>H17</x:f>
        <x:v>68000</x:v>
      </x:c>
      <x:c r="J17" s="250" t="n">
        <x:f>MAX(0,MIN(1,MAX(0,MIN(1,'机会输入'!E31+'规格输入'!$E$8))*MAX(0,'机会输入'!$D$35)))</x:f>
        <x:v>0.13125000000000003</x:v>
      </x:c>
      <x:c r="K17" s="249" t="n">
        <x:f>G17*I17/100000000</x:f>
        <x:v>0</x:v>
      </x:c>
      <x:c r="L17" s="249" t="n">
        <x:f>K17*J17</x:f>
        <x:v>0</x:v>
      </x:c>
      <x:c r="M17" s="249" t="n">
        <x:f>L17*'机会输入'!E4</x:f>
        <x:v>0</x:v>
      </x:c>
      <x:c r="N17" s="245"/>
    </x:row>
    <x:row r="18">
      <x:c r="A18" s="240" t="str">
        <x:v>2027E</x:v>
      </x:c>
      <x:c r="B18" s="240" t="str">
        <x:v>800G可插拔透镜</x:v>
      </x:c>
      <x:c r="C18" s="240" t="str">
        <x:v>800G</x:v>
      </x:c>
      <x:c r="D18" s="248" t="n">
        <x:f>'机会输入'!F7*MAX(0,'机会输入'!$B$35)*1</x:f>
        <x:v>7250</x:v>
      </x:c>
      <x:c r="E18" s="248" t="n">
        <x:f>'机会输入'!F6</x:f>
        <x:v>10</x:v>
      </x:c>
      <x:c r="F18" s="249" t="str">
        <x:v>只透镜</x:v>
      </x:c>
      <x:c r="G18" s="242" t="n">
        <x:f>D18*10000*E18</x:f>
        <x:v>725000000</x:v>
      </x:c>
      <x:c r="H18" s="249" t="n">
        <x:f>('机会输入'!F8)*MAX(0,'机会输入'!$C$35)</x:f>
        <x:v>3.4</x:v>
      </x:c>
      <x:c r="I18" s="249" t="n">
        <x:f>H18*MAX(0,'机会输入'!F32)</x:f>
        <x:v>3.06</x:v>
      </x:c>
      <x:c r="J18" s="250" t="n">
        <x:f>MAX(0,MIN(1,MAX(0,MIN(1,'机会输入'!F11))*MAX(0,'机会输入'!$E$35)))</x:f>
        <x:v>0.07999999999999999</x:v>
      </x:c>
      <x:c r="K18" s="249" t="n">
        <x:f>G18*I18/100000000</x:f>
        <x:v>22.185</x:v>
      </x:c>
      <x:c r="L18" s="249" t="n">
        <x:f>K18*J18</x:f>
        <x:v>1.7747999999999997</x:v>
      </x:c>
      <x:c r="M18" s="249" t="n">
        <x:f>L18*'机会输入'!F4</x:f>
        <x:v>0.585684</x:v>
      </x:c>
      <x:c r="N18" s="245"/>
    </x:row>
    <x:row r="19">
      <x:c r="A19" s="240" t="str">
        <x:v>2027E</x:v>
      </x:c>
      <x:c r="B19" s="240" t="str">
        <x:v>1.6T可插拔透镜</x:v>
      </x:c>
      <x:c r="C19" s="240" t="str">
        <x:v>1.6T</x:v>
      </x:c>
      <x:c r="D19" s="248" t="n">
        <x:f>'机会输入'!F9*MAX(0,'机会输入'!$B$35)*1</x:f>
        <x:v>6400</x:v>
      </x:c>
      <x:c r="E19" s="248" t="n">
        <x:f>'机会输入'!F6</x:f>
        <x:v>10</x:v>
      </x:c>
      <x:c r="F19" s="249" t="str">
        <x:v>只透镜</x:v>
      </x:c>
      <x:c r="G19" s="242" t="n">
        <x:f>D19*10000*E19</x:f>
        <x:v>640000000</x:v>
      </x:c>
      <x:c r="H19" s="249" t="n">
        <x:f>('机会输入'!F10)*MAX(0,'机会输入'!$C$35)</x:f>
        <x:v>4.76</x:v>
      </x:c>
      <x:c r="I19" s="249" t="n">
        <x:f>H19*MAX(0,'机会输入'!F32)</x:f>
        <x:v>4.284</x:v>
      </x:c>
      <x:c r="J19" s="250" t="n">
        <x:f>MAX(0,MIN(1,MAX(0,MIN(1,'机会输入'!F11))*MAX(0,'机会输入'!$E$35)))</x:f>
        <x:v>0.07999999999999999</x:v>
      </x:c>
      <x:c r="K19" s="249" t="n">
        <x:f>G19*I19/100000000</x:f>
        <x:v>27.4176</x:v>
      </x:c>
      <x:c r="L19" s="249" t="n">
        <x:f>K19*J19</x:f>
        <x:v>2.193408</x:v>
      </x:c>
      <x:c r="M19" s="249" t="n">
        <x:f>L19*'机会输入'!F4</x:f>
        <x:v>0.72382464</x:v>
      </x:c>
      <x:c r="N19" s="245"/>
    </x:row>
    <x:row r="20">
      <x:c r="A20" s="240" t="str">
        <x:v>2027E</x:v>
      </x:c>
      <x:c r="B20" s="240" t="str">
        <x:v>OCS NxN透镜阵列</x:v>
      </x:c>
      <x:c r="C20" s="240" t="str">
        <x:v>小端口参考系统</x:v>
      </x:c>
      <x:c r="D20" s="248" t="n">
        <x:f>'机会输入'!F12*MAX(0,'机会输入'!$B$35)*(1-MAX(0,MIN(1,'规格输入'!F5)))</x:f>
        <x:v>6</x:v>
      </x:c>
      <x:c r="E20" s="248" t="n">
        <x:f>'规格输入'!$E$4</x:f>
        <x:v>256</x:v>
      </x:c>
      <x:c r="F20" s="249" t="str">
        <x:v>总光通道</x:v>
      </x:c>
      <x:c r="G20" s="242" t="n">
        <x:f>D20*10000*E20</x:f>
        <x:v>15360000</x:v>
      </x:c>
      <x:c r="H20" s="249" t="n">
        <x:f>'规格输入'!$M$5</x:f>
        <x:v>15</x:v>
      </x:c>
      <x:c r="I20" s="249" t="n">
        <x:f>H20*MAX(0,'机会输入'!F5)</x:f>
        <x:v>12</x:v>
      </x:c>
      <x:c r="J20" s="250" t="n">
        <x:f>MAX(0,MIN(1,MAX(0,MIN(1,'机会输入'!F15))*MAX(0,'机会输入'!$E$35)))</x:f>
        <x:v>0.7999999999999999</x:v>
      </x:c>
      <x:c r="K20" s="249" t="n">
        <x:f>G20*I20/100000000</x:f>
        <x:v>1.8432</x:v>
      </x:c>
      <x:c r="L20" s="249" t="n">
        <x:f>K20*J20</x:f>
        <x:v>1.4745599999999999</x:v>
      </x:c>
      <x:c r="M20" s="249" t="n">
        <x:f>L20*'机会输入'!F4</x:f>
        <x:v>0.4866048</x:v>
      </x:c>
      <x:c r="N20" s="245"/>
    </x:row>
    <x:row r="21">
      <x:c r="A21" s="240" t="str">
        <x:v>2027E</x:v>
      </x:c>
      <x:c r="B21" s="240" t="str">
        <x:v>OCS NxN透镜阵列</x:v>
      </x:c>
      <x:c r="C21" s="240" t="str">
        <x:v>大端口320×320</x:v>
      </x:c>
      <x:c r="D21" s="248" t="n">
        <x:f>'机会输入'!F12*MAX(0,'机会输入'!$B$35)*MAX(0,MIN(1,'规格输入'!F5))</x:f>
        <x:v>4</x:v>
      </x:c>
      <x:c r="E21" s="248" t="n">
        <x:f>'机会输入'!F13</x:f>
        <x:v>640</x:v>
      </x:c>
      <x:c r="F21" s="249" t="str">
        <x:v>总光通道</x:v>
      </x:c>
      <x:c r="G21" s="242" t="n">
        <x:f>D21*10000*E21</x:f>
        <x:v>25600000</x:v>
      </x:c>
      <x:c r="H21" s="249" t="n">
        <x:f>'机会输入'!$I$35</x:f>
        <x:v>30</x:v>
      </x:c>
      <x:c r="I21" s="249" t="n">
        <x:f>H21*MAX(0,'机会输入'!F5)</x:f>
        <x:v>24</x:v>
      </x:c>
      <x:c r="J21" s="250" t="n">
        <x:f>MAX(0,MIN(1,MAX(0,MIN(1,'机会输入'!F15+'规格输入'!$E$8))*MAX(0,'机会输入'!$E$35)))</x:f>
        <x:v>0.8444444444444444</x:v>
      </x:c>
      <x:c r="K21" s="249" t="n">
        <x:f>G21*I21/100000000</x:f>
        <x:v>6.144</x:v>
      </x:c>
      <x:c r="L21" s="249" t="n">
        <x:f>K21*J21</x:f>
        <x:v>5.188266666666666</x:v>
      </x:c>
      <x:c r="M21" s="249" t="n">
        <x:f>L21*'机会输入'!F4</x:f>
        <x:v>1.7121279999999999</x:v>
      </x:c>
      <x:c r="N21" s="245"/>
    </x:row>
    <x:row r="22">
      <x:c r="A22" s="240" t="str">
        <x:v>2027E</x:v>
      </x:c>
      <x:c r="B22" s="240" t="str">
        <x:v>FAU V型槽</x:v>
      </x:c>
      <x:c r="C22" s="240" t="str">
        <x:v>102.4T</x:v>
      </x:c>
      <x:c r="D22" s="248" t="n">
        <x:f>'机会输入'!F16*MAX(0,'机会输入'!$B$35)*(1-MAX(0,MIN(1,'规格输入'!F6)))</x:f>
        <x:v>20</x:v>
      </x:c>
      <x:c r="E22" s="248" t="n">
        <x:f>'机会输入'!F17*'机会输入'!F18</x:f>
        <x:v>1152</x:v>
      </x:c>
      <x:c r="F22" s="249" t="str">
        <x:v>通道</x:v>
      </x:c>
      <x:c r="G22" s="242" t="n">
        <x:f>D22*10000*E22</x:f>
        <x:v>230400000</x:v>
      </x:c>
      <x:c r="H22" s="249" t="n">
        <x:f>('机会输入'!F19)*MAX(0,'机会输入'!$C$35)*'规格输入'!$E$7</x:f>
        <x:v>7.616</x:v>
      </x:c>
      <x:c r="I22" s="249" t="n">
        <x:f>H22*MAX(0,'机会输入'!F5)</x:f>
        <x:v>6.0928</x:v>
      </x:c>
      <x:c r="J22" s="250" t="n">
        <x:f>MAX(0,MIN(1,MAX(0,MIN(1,'机会输入'!F20))*MAX(0,'机会输入'!$E$35)))</x:f>
        <x:v>0.4444444444444444</x:v>
      </x:c>
      <x:c r="K22" s="249" t="n">
        <x:f>G22*I22/100000000</x:f>
        <x:v>14.0378112</x:v>
      </x:c>
      <x:c r="L22" s="249" t="n">
        <x:f>K22*J22</x:f>
        <x:v>6.2390272</x:v>
      </x:c>
      <x:c r="M22" s="249" t="n">
        <x:f>L22*'机会输入'!F4</x:f>
        <x:v>2.058878976</x:v>
      </x:c>
      <x:c r="N22" s="245"/>
    </x:row>
    <x:row r="23">
      <x:c r="A23" s="240" t="str">
        <x:v>2027E</x:v>
      </x:c>
      <x:c r="B23" s="240" t="str">
        <x:v>FAU V型槽</x:v>
      </x:c>
      <x:c r="C23" s="240" t="str">
        <x:v>204.8T</x:v>
      </x:c>
      <x:c r="D23" s="248" t="n">
        <x:f>'机会输入'!F16*MAX(0,'机会输入'!$B$35)*MAX(0,MIN(1,'规格输入'!F6))</x:f>
        <x:v>0</x:v>
      </x:c>
      <x:c r="E23" s="248" t="n">
        <x:f>'机会输入'!F17*'规格输入'!$E$9</x:f>
        <x:v>2304</x:v>
      </x:c>
      <x:c r="F23" s="249" t="str">
        <x:v>通道</x:v>
      </x:c>
      <x:c r="G23" s="242" t="n">
        <x:f>D23*10000*E23</x:f>
        <x:v>0</x:v>
      </x:c>
      <x:c r="H23" s="249" t="n">
        <x:f>('机会输入'!F19)*MAX(0,'机会输入'!$C$35)</x:f>
        <x:v>9.52</x:v>
      </x:c>
      <x:c r="I23" s="249" t="n">
        <x:f>H23*MAX(0,'机会输入'!F5)</x:f>
        <x:v>7.616</x:v>
      </x:c>
      <x:c r="J23" s="250" t="n">
        <x:f>MAX(0,MIN(1,MAX(0,MIN(1,'机会输入'!F20+'规格输入'!$E$8))*MAX(0,'机会输入'!$E$35)))</x:f>
        <x:v>0.48888888888888893</x:v>
      </x:c>
      <x:c r="K23" s="249" t="n">
        <x:f>G23*I23/100000000</x:f>
        <x:v>0</x:v>
      </x:c>
      <x:c r="L23" s="249" t="n">
        <x:f>K23*J23</x:f>
        <x:v>0</x:v>
      </x:c>
      <x:c r="M23" s="249" t="n">
        <x:f>L23*'机会输入'!F4</x:f>
        <x:v>0</x:v>
      </x:c>
      <x:c r="N23" s="245"/>
    </x:row>
    <x:row r="24">
      <x:c r="A24" s="240" t="str">
        <x:v>2027E</x:v>
      </x:c>
      <x:c r="B24" s="240" t="str">
        <x:v>FAU棱镜透镜阵列</x:v>
      </x:c>
      <x:c r="C24" s="240" t="str">
        <x:v>102.4T</x:v>
      </x:c>
      <x:c r="D24" s="248" t="n">
        <x:f>'机会输入'!F16*MAX(0,'机会输入'!$B$35)*(1-MAX(0,MIN(1,'规格输入'!F6)))</x:f>
        <x:v>20</x:v>
      </x:c>
      <x:c r="E24" s="248" t="n">
        <x:f>'机会输入'!F21*'机会输入'!F22</x:f>
        <x:v>1152</x:v>
      </x:c>
      <x:c r="F24" s="249" t="str">
        <x:v>通道</x:v>
      </x:c>
      <x:c r="G24" s="242" t="n">
        <x:f>D24*10000*E24</x:f>
        <x:v>230400000</x:v>
      </x:c>
      <x:c r="H24" s="249" t="n">
        <x:f>('机会输入'!F23)*MAX(0,'机会输入'!$C$35)*'规格输入'!$E$7</x:f>
        <x:v>10.88</x:v>
      </x:c>
      <x:c r="I24" s="249" t="n">
        <x:f>H24*MAX(0,'机会输入'!F5)</x:f>
        <x:v>8.704</x:v>
      </x:c>
      <x:c r="J24" s="250" t="n">
        <x:f>'机会输入'!F24</x:f>
        <x:v>0.45</x:v>
      </x:c>
      <x:c r="K24" s="249" t="n">
        <x:f>G24*I24/100000000</x:f>
        <x:v>20.054016</x:v>
      </x:c>
      <x:c r="L24" s="249" t="n">
        <x:f>K24*J24</x:f>
        <x:v>9.0243072</x:v>
      </x:c>
      <x:c r="M24" s="249" t="n">
        <x:f>L24*'机会输入'!F4</x:f>
        <x:v>2.9780213760000005</x:v>
      </x:c>
      <x:c r="N24" s="245"/>
    </x:row>
    <x:row r="25">
      <x:c r="A25" s="240" t="str">
        <x:v>2027E</x:v>
      </x:c>
      <x:c r="B25" s="240" t="str">
        <x:v>FAU棱镜透镜阵列</x:v>
      </x:c>
      <x:c r="C25" s="240" t="str">
        <x:v>204.8T</x:v>
      </x:c>
      <x:c r="D25" s="248" t="n">
        <x:f>'机会输入'!F16*MAX(0,'机会输入'!$B$35)*MAX(0,MIN(1,'规格输入'!F6))</x:f>
        <x:v>0</x:v>
      </x:c>
      <x:c r="E25" s="248" t="n">
        <x:f>'机会输入'!F21*'规格输入'!$E$9</x:f>
        <x:v>2304</x:v>
      </x:c>
      <x:c r="F25" s="249" t="str">
        <x:v>通道</x:v>
      </x:c>
      <x:c r="G25" s="242" t="n">
        <x:f>D25*10000*E25</x:f>
        <x:v>0</x:v>
      </x:c>
      <x:c r="H25" s="249" t="n">
        <x:f>('机会输入'!F23)*MAX(0,'机会输入'!$C$35)</x:f>
        <x:v>13.6</x:v>
      </x:c>
      <x:c r="I25" s="249" t="n">
        <x:f>H25*MAX(0,'机会输入'!F5)</x:f>
        <x:v>10.88</x:v>
      </x:c>
      <x:c r="J25" s="250" t="n">
        <x:f>'机会输入'!F24</x:f>
        <x:v>0.45</x:v>
      </x:c>
      <x:c r="K25" s="249" t="n">
        <x:f>G25*I25/100000000</x:f>
        <x:v>0</x:v>
      </x:c>
      <x:c r="L25" s="249" t="n">
        <x:f>K25*J25</x:f>
        <x:v>0</x:v>
      </x:c>
      <x:c r="M25" s="249" t="n">
        <x:f>L25*'机会输入'!F4</x:f>
        <x:v>0</x:v>
      </x:c>
      <x:c r="N25" s="245"/>
    </x:row>
    <x:row r="26">
      <x:c r="A26" s="240" t="str">
        <x:v>2027E</x:v>
      </x:c>
      <x:c r="B26" s="240" t="str">
        <x:v>ELS透镜＋热沉</x:v>
      </x:c>
      <x:c r="C26" s="240" t="str">
        <x:v>102.4T</x:v>
      </x:c>
      <x:c r="D26" s="248" t="n">
        <x:f>'机会输入'!F16*MAX(0,'机会输入'!$B$35)*(1-MAX(0,MIN(1,'规格输入'!F6)))</x:f>
        <x:v>20</x:v>
      </x:c>
      <x:c r="E26" s="248" t="n">
        <x:f>'机会输入'!F25</x:f>
        <x:v>128</x:v>
      </x:c>
      <x:c r="F26" s="249" t="str">
        <x:v>套光源配套</x:v>
      </x:c>
      <x:c r="G26" s="242" t="n">
        <x:f>D26*10000*E26</x:f>
        <x:v>25600000</x:v>
      </x:c>
      <x:c r="H26" s="249" t="n">
        <x:f>('机会输入'!F26+'机会输入'!F27)*MAX(0,'机会输入'!$C$35)*'规格输入'!$E$7</x:f>
        <x:v>54.400000000000006</x:v>
      </x:c>
      <x:c r="I26" s="249" t="n">
        <x:f>H26*MAX(0,'机会输入'!F5)</x:f>
        <x:v>43.52000000000001</x:v>
      </x:c>
      <x:c r="J26" s="250" t="n">
        <x:f>MAX(0,MIN(1,MAX(0,MIN(1,'机会输入'!F28))*MAX(0,'机会输入'!$E$35)))</x:f>
        <x:v>0.39999999999999997</x:v>
      </x:c>
      <x:c r="K26" s="249" t="n">
        <x:f>G26*I26/100000000</x:f>
        <x:v>11.141120000000003</x:v>
      </x:c>
      <x:c r="L26" s="249" t="n">
        <x:f>K26*J26</x:f>
        <x:v>4.456448000000001</x:v>
      </x:c>
      <x:c r="M26" s="249" t="n">
        <x:f>L26*'机会输入'!F4</x:f>
        <x:v>1.4706278400000004</x:v>
      </x:c>
      <x:c r="N26" s="245"/>
    </x:row>
    <x:row r="27">
      <x:c r="A27" s="240" t="str">
        <x:v>2027E</x:v>
      </x:c>
      <x:c r="B27" s="240" t="str">
        <x:v>ELS透镜＋热沉</x:v>
      </x:c>
      <x:c r="C27" s="240" t="str">
        <x:v>204.8T</x:v>
      </x:c>
      <x:c r="D27" s="248" t="n">
        <x:f>'机会输入'!F16*MAX(0,'机会输入'!$B$35)*MAX(0,MIN(1,'规格输入'!F6))</x:f>
        <x:v>0</x:v>
      </x:c>
      <x:c r="E27" s="248" t="n">
        <x:f>'机会输入'!F25</x:f>
        <x:v>128</x:v>
      </x:c>
      <x:c r="F27" s="249" t="str">
        <x:v>套光源配套</x:v>
      </x:c>
      <x:c r="G27" s="242" t="n">
        <x:f>D27*10000*E27</x:f>
        <x:v>0</x:v>
      </x:c>
      <x:c r="H27" s="249" t="n">
        <x:f>('机会输入'!F26+'机会输入'!F27)*MAX(0,'机会输入'!$C$35)</x:f>
        <x:v>68</x:v>
      </x:c>
      <x:c r="I27" s="249" t="n">
        <x:f>H27*MAX(0,'机会输入'!F5)</x:f>
        <x:v>54.400000000000006</x:v>
      </x:c>
      <x:c r="J27" s="250" t="n">
        <x:f>MAX(0,MIN(1,MAX(0,MIN(1,'机会输入'!F28+'规格输入'!$E$8))*MAX(0,'机会输入'!$E$35)))</x:f>
        <x:v>0.4444444444444444</x:v>
      </x:c>
      <x:c r="K27" s="249" t="n">
        <x:f>G27*I27/100000000</x:f>
        <x:v>0</x:v>
      </x:c>
      <x:c r="L27" s="249" t="n">
        <x:f>K27*J27</x:f>
        <x:v>0</x:v>
      </x:c>
      <x:c r="M27" s="249" t="n">
        <x:f>L27*'机会输入'!F4</x:f>
        <x:v>0</x:v>
      </x:c>
      <x:c r="N27" s="245"/>
    </x:row>
    <x:row r="28">
      <x:c r="A28" s="240" t="str">
        <x:v>2027E</x:v>
      </x:c>
      <x:c r="B28" s="240" t="str">
        <x:v>FAU关键尺寸量测设备</x:v>
      </x:c>
      <x:c r="C28" s="240" t="str">
        <x:v>102.4T</x:v>
      </x:c>
      <x:c r="D28" s="248" t="n">
        <x:f>'机会输入'!F16*MAX(0,'机会输入'!$B$35)*(1-MAX(0,MIN(1,'规格输入'!F6)))</x:f>
        <x:v>20</x:v>
      </x:c>
      <x:c r="E28" s="248" t="n">
        <x:f>'机会输入'!F17/'规格输入'!$E$10</x:f>
        <x:v>0.032</x:v>
      </x:c>
      <x:c r="F28" s="249" t="str">
        <x:v>台设备</x:v>
      </x:c>
      <x:c r="G28" s="242" t="n">
        <x:f>D28*10000*E28</x:f>
        <x:v>6400</x:v>
      </x:c>
      <x:c r="H28" s="249" t="n">
        <x:f>('机会输入'!F30)*MAX(0,'机会输入'!$C$35)*'规格输入'!$E$7</x:f>
        <x:v>54400</x:v>
      </x:c>
      <x:c r="I28" s="249" t="n">
        <x:f>H28</x:f>
        <x:v>54400</x:v>
      </x:c>
      <x:c r="J28" s="250" t="n">
        <x:f>MAX(0,MIN(1,MAX(0,MIN(1,'机会输入'!F31))*MAX(0,'机会输入'!$E$35)))</x:f>
        <x:v>0.26666666666666666</x:v>
      </x:c>
      <x:c r="K28" s="249" t="n">
        <x:f>G28*I28/100000000</x:f>
        <x:v>3.4816</x:v>
      </x:c>
      <x:c r="L28" s="249" t="n">
        <x:f>K28*J28</x:f>
        <x:v>0.9284266666666666</x:v>
      </x:c>
      <x:c r="M28" s="249" t="n">
        <x:f>L28*'机会输入'!F4</x:f>
        <x:v>0.3063808</x:v>
      </x:c>
      <x:c r="N28" s="245"/>
    </x:row>
    <x:row r="29">
      <x:c r="A29" s="240" t="str">
        <x:v>2027E</x:v>
      </x:c>
      <x:c r="B29" s="240" t="str">
        <x:v>FAU关键尺寸量测设备</x:v>
      </x:c>
      <x:c r="C29" s="240" t="str">
        <x:v>204.8T</x:v>
      </x:c>
      <x:c r="D29" s="248" t="n">
        <x:f>'机会输入'!F16*MAX(0,'机会输入'!$B$35)*MAX(0,MIN(1,'规格输入'!F6))</x:f>
        <x:v>0</x:v>
      </x:c>
      <x:c r="E29" s="248" t="n">
        <x:f>'机会输入'!F17/'规格输入'!$E$10</x:f>
        <x:v>0.032</x:v>
      </x:c>
      <x:c r="F29" s="249" t="str">
        <x:v>台设备</x:v>
      </x:c>
      <x:c r="G29" s="242" t="n">
        <x:f>D29*10000*E29</x:f>
        <x:v>0</x:v>
      </x:c>
      <x:c r="H29" s="249" t="n">
        <x:f>('机会输入'!F30)*MAX(0,'机会输入'!$C$35)</x:f>
        <x:v>68000</x:v>
      </x:c>
      <x:c r="I29" s="249" t="n">
        <x:f>H29</x:f>
        <x:v>68000</x:v>
      </x:c>
      <x:c r="J29" s="250" t="n">
        <x:f>MAX(0,MIN(1,MAX(0,MIN(1,'机会输入'!F31+'规格输入'!$E$8))*MAX(0,'机会输入'!$E$35)))</x:f>
        <x:v>0.31111111111111106</x:v>
      </x:c>
      <x:c r="K29" s="249" t="n">
        <x:f>G29*I29/100000000</x:f>
        <x:v>0</x:v>
      </x:c>
      <x:c r="L29" s="249" t="n">
        <x:f>K29*J29</x:f>
        <x:v>0</x:v>
      </x:c>
      <x:c r="M29" s="249" t="n">
        <x:f>L29*'机会输入'!F4</x:f>
        <x:v>0</x:v>
      </x:c>
      <x:c r="N29" s="245"/>
    </x:row>
    <x:row r="30">
      <x:c r="A30" s="240" t="str">
        <x:v>2028E</x:v>
      </x:c>
      <x:c r="B30" s="240" t="str">
        <x:v>800G可插拔透镜</x:v>
      </x:c>
      <x:c r="C30" s="240" t="str">
        <x:v>800G</x:v>
      </x:c>
      <x:c r="D30" s="248" t="n">
        <x:f>'机会输入'!G7*MAX(0,'机会输入'!$B$35)*1</x:f>
        <x:v>5000</x:v>
      </x:c>
      <x:c r="E30" s="248" t="n">
        <x:f>'机会输入'!G6</x:f>
        <x:v>10</x:v>
      </x:c>
      <x:c r="F30" s="249" t="str">
        <x:v>只透镜</x:v>
      </x:c>
      <x:c r="G30" s="242" t="n">
        <x:f>D30*10000*E30</x:f>
        <x:v>500000000</x:v>
      </x:c>
      <x:c r="H30" s="249" t="n">
        <x:f>('机会输入'!G8)*MAX(0,'机会输入'!$C$35)</x:f>
        <x:v>3.4</x:v>
      </x:c>
      <x:c r="I30" s="249" t="n">
        <x:f>H30*MAX(0,'机会输入'!G32)</x:f>
        <x:v>2.754</x:v>
      </x:c>
      <x:c r="J30" s="250" t="n">
        <x:f>MAX(0,MIN(1,MAX(0,MIN(1,'机会输入'!G11))*MAX(0,'机会输入'!$F$35)))</x:f>
        <x:v>0.085</x:v>
      </x:c>
      <x:c r="K30" s="249" t="n">
        <x:f>G30*I30/100000000</x:f>
        <x:v>13.77</x:v>
      </x:c>
      <x:c r="L30" s="249" t="n">
        <x:f>K30*J30</x:f>
        <x:v>1.17045</x:v>
      </x:c>
      <x:c r="M30" s="249" t="n">
        <x:f>L30*'机会输入'!G4</x:f>
        <x:v>0.3862485</x:v>
      </x:c>
      <x:c r="N30" s="245"/>
    </x:row>
    <x:row r="31">
      <x:c r="A31" s="240" t="str">
        <x:v>2028E</x:v>
      </x:c>
      <x:c r="B31" s="240" t="str">
        <x:v>1.6T可插拔透镜</x:v>
      </x:c>
      <x:c r="C31" s="240" t="str">
        <x:v>1.6T</x:v>
      </x:c>
      <x:c r="D31" s="248" t="n">
        <x:f>'机会输入'!G9*MAX(0,'机会输入'!$B$35)*1</x:f>
        <x:v>10500</x:v>
      </x:c>
      <x:c r="E31" s="248" t="n">
        <x:f>'机会输入'!G6</x:f>
        <x:v>10</x:v>
      </x:c>
      <x:c r="F31" s="249" t="str">
        <x:v>只透镜</x:v>
      </x:c>
      <x:c r="G31" s="242" t="n">
        <x:f>D31*10000*E31</x:f>
        <x:v>1050000000</x:v>
      </x:c>
      <x:c r="H31" s="249" t="n">
        <x:f>('机会输入'!G10)*MAX(0,'机会输入'!$C$35)</x:f>
        <x:v>4.76</x:v>
      </x:c>
      <x:c r="I31" s="249" t="n">
        <x:f>H31*MAX(0,'机会输入'!G32)</x:f>
        <x:v>3.8556</x:v>
      </x:c>
      <x:c r="J31" s="250" t="n">
        <x:f>MAX(0,MIN(1,MAX(0,MIN(1,'机会输入'!G11))*MAX(0,'机会输入'!$F$35)))</x:f>
        <x:v>0.085</x:v>
      </x:c>
      <x:c r="K31" s="249" t="n">
        <x:f>G31*I31/100000000</x:f>
        <x:v>40.4838</x:v>
      </x:c>
      <x:c r="L31" s="249" t="n">
        <x:f>K31*J31</x:f>
        <x:v>3.4411230000000006</x:v>
      </x:c>
      <x:c r="M31" s="249" t="n">
        <x:f>L31*'机会输入'!G4</x:f>
        <x:v>1.1355705900000002</x:v>
      </x:c>
      <x:c r="N31" s="245"/>
    </x:row>
    <x:row r="32">
      <x:c r="A32" s="240" t="str">
        <x:v>2028E</x:v>
      </x:c>
      <x:c r="B32" s="240" t="str">
        <x:v>OCS NxN透镜阵列</x:v>
      </x:c>
      <x:c r="C32" s="240" t="str">
        <x:v>小端口参考系统</x:v>
      </x:c>
      <x:c r="D32" s="248" t="n">
        <x:f>'机会输入'!G12*MAX(0,'机会输入'!$B$35)*(1-MAX(0,MIN(1,'规格输入'!G5)))</x:f>
        <x:v>9</x:v>
      </x:c>
      <x:c r="E32" s="248" t="n">
        <x:f>'规格输入'!$E$4</x:f>
        <x:v>256</x:v>
      </x:c>
      <x:c r="F32" s="249" t="str">
        <x:v>总光通道</x:v>
      </x:c>
      <x:c r="G32" s="242" t="n">
        <x:f>D32*10000*E32</x:f>
        <x:v>23040000</x:v>
      </x:c>
      <x:c r="H32" s="249" t="n">
        <x:f>'规格输入'!$M$5</x:f>
        <x:v>15</x:v>
      </x:c>
      <x:c r="I32" s="249" t="n">
        <x:f>H32*MAX(0,'机会输入'!G5)</x:f>
        <x:v>10.799999999999999</x:v>
      </x:c>
      <x:c r="J32" s="250" t="n">
        <x:f>MAX(0,MIN(1,MAX(0,MIN(1,'机会输入'!G15))*MAX(0,'机会输入'!$F$35)))</x:f>
        <x:v>0.68</x:v>
      </x:c>
      <x:c r="K32" s="249" t="n">
        <x:f>G32*I32/100000000</x:f>
        <x:v>2.48832</x:v>
      </x:c>
      <x:c r="L32" s="249" t="n">
        <x:f>K32*J32</x:f>
        <x:v>1.6920576</x:v>
      </x:c>
      <x:c r="M32" s="249" t="n">
        <x:f>L32*'机会输入'!G4</x:f>
        <x:v>0.5583790080000001</x:v>
      </x:c>
      <x:c r="N32" s="245"/>
    </x:row>
    <x:row r="33">
      <x:c r="A33" s="240" t="str">
        <x:v>2028E</x:v>
      </x:c>
      <x:c r="B33" s="240" t="str">
        <x:v>OCS NxN透镜阵列</x:v>
      </x:c>
      <x:c r="C33" s="240" t="str">
        <x:v>大端口320×320</x:v>
      </x:c>
      <x:c r="D33" s="248" t="n">
        <x:f>'机会输入'!G12*MAX(0,'机会输入'!$B$35)*MAX(0,MIN(1,'规格输入'!G5))</x:f>
        <x:v>11</x:v>
      </x:c>
      <x:c r="E33" s="248" t="n">
        <x:f>'机会输入'!G13</x:f>
        <x:v>640</x:v>
      </x:c>
      <x:c r="F33" s="249" t="str">
        <x:v>总光通道</x:v>
      </x:c>
      <x:c r="G33" s="242" t="n">
        <x:f>D33*10000*E33</x:f>
        <x:v>70400000</x:v>
      </x:c>
      <x:c r="H33" s="249" t="n">
        <x:f>'机会输入'!$I$35</x:f>
        <x:v>30</x:v>
      </x:c>
      <x:c r="I33" s="249" t="n">
        <x:f>H33*MAX(0,'机会输入'!G5)</x:f>
        <x:v>21.599999999999998</x:v>
      </x:c>
      <x:c r="J33" s="250" t="n">
        <x:f>MAX(0,MIN(1,MAX(0,MIN(1,'机会输入'!G15+'规格输入'!$E$8))*MAX(0,'机会输入'!$F$35)))</x:f>
        <x:v>0.7225</x:v>
      </x:c>
      <x:c r="K33" s="249" t="n">
        <x:f>G33*I33/100000000</x:f>
        <x:v>15.206399999999997</x:v>
      </x:c>
      <x:c r="L33" s="249" t="n">
        <x:f>K33*J33</x:f>
        <x:v>10.986623999999997</x:v>
      </x:c>
      <x:c r="M33" s="249" t="n">
        <x:f>L33*'机会输入'!G4</x:f>
        <x:v>3.6255859199999994</x:v>
      </x:c>
      <x:c r="N33" s="245"/>
    </x:row>
    <x:row r="34">
      <x:c r="A34" s="240" t="str">
        <x:v>2028E</x:v>
      </x:c>
      <x:c r="B34" s="240" t="str">
        <x:v>FAU V型槽</x:v>
      </x:c>
      <x:c r="C34" s="240" t="str">
        <x:v>102.4T</x:v>
      </x:c>
      <x:c r="D34" s="248" t="n">
        <x:f>'机会输入'!G16*MAX(0,'机会输入'!$B$35)*(1-MAX(0,MIN(1,'规格输入'!G6)))</x:f>
        <x:v>30</x:v>
      </x:c>
      <x:c r="E34" s="248" t="n">
        <x:f>'机会输入'!G17*'机会输入'!G18</x:f>
        <x:v>1152</x:v>
      </x:c>
      <x:c r="F34" s="249" t="str">
        <x:v>通道</x:v>
      </x:c>
      <x:c r="G34" s="242" t="n">
        <x:f>D34*10000*E34</x:f>
        <x:v>345600000</x:v>
      </x:c>
      <x:c r="H34" s="249" t="n">
        <x:f>('机会输入'!G19)*MAX(0,'机会输入'!$C$35)*'规格输入'!$E$7</x:f>
        <x:v>7.616</x:v>
      </x:c>
      <x:c r="I34" s="249" t="n">
        <x:f>H34*MAX(0,'机会输入'!G5)</x:f>
        <x:v>5.4835199999999995</x:v>
      </x:c>
      <x:c r="J34" s="250" t="n">
        <x:f>MAX(0,MIN(1,MAX(0,MIN(1,'机会输入'!G20))*MAX(0,'机会输入'!$F$35)))</x:f>
        <x:v>0.4675</x:v>
      </x:c>
      <x:c r="K34" s="249" t="n">
        <x:f>G34*I34/100000000</x:f>
        <x:v>18.951045119999996</x:v>
      </x:c>
      <x:c r="L34" s="249" t="n">
        <x:f>K34*J34</x:f>
        <x:v>8.859613593599999</x:v>
      </x:c>
      <x:c r="M34" s="249" t="n">
        <x:f>L34*'机会输入'!G4</x:f>
        <x:v>2.923672485888</x:v>
      </x:c>
      <x:c r="N34" s="245"/>
    </x:row>
    <x:row r="35">
      <x:c r="A35" s="240" t="str">
        <x:v>2028E</x:v>
      </x:c>
      <x:c r="B35" s="240" t="str">
        <x:v>FAU V型槽</x:v>
      </x:c>
      <x:c r="C35" s="240" t="str">
        <x:v>204.8T</x:v>
      </x:c>
      <x:c r="D35" s="248" t="n">
        <x:f>'机会输入'!G16*MAX(0,'机会输入'!$B$35)*MAX(0,MIN(1,'规格输入'!G6))</x:f>
        <x:v>20</x:v>
      </x:c>
      <x:c r="E35" s="248" t="n">
        <x:f>'机会输入'!G17*'规格输入'!$E$9</x:f>
        <x:v>2304</x:v>
      </x:c>
      <x:c r="F35" s="249" t="str">
        <x:v>通道</x:v>
      </x:c>
      <x:c r="G35" s="242" t="n">
        <x:f>D35*10000*E35</x:f>
        <x:v>460800000</x:v>
      </x:c>
      <x:c r="H35" s="249" t="n">
        <x:f>('机会输入'!G19)*MAX(0,'机会输入'!$C$35)</x:f>
        <x:v>9.52</x:v>
      </x:c>
      <x:c r="I35" s="249" t="n">
        <x:f>H35*MAX(0,'机会输入'!G5)</x:f>
        <x:v>6.854399999999999</x:v>
      </x:c>
      <x:c r="J35" s="250" t="n">
        <x:f>MAX(0,MIN(1,MAX(0,MIN(1,'机会输入'!G20+'规格输入'!$E$8))*MAX(0,'机会输入'!$F$35)))</x:f>
        <x:v>0.51</x:v>
      </x:c>
      <x:c r="K35" s="249" t="n">
        <x:f>G35*I35/100000000</x:f>
        <x:v>31.585075199999995</x:v>
      </x:c>
      <x:c r="L35" s="249" t="n">
        <x:f>K35*J35</x:f>
        <x:v>16.108388352</x:v>
      </x:c>
      <x:c r="M35" s="249" t="n">
        <x:f>L35*'机会输入'!G4</x:f>
        <x:v>5.31576815616</x:v>
      </x:c>
      <x:c r="N35" s="245"/>
    </x:row>
    <x:row r="36">
      <x:c r="A36" s="240" t="str">
        <x:v>2028E</x:v>
      </x:c>
      <x:c r="B36" s="240" t="str">
        <x:v>FAU棱镜透镜阵列</x:v>
      </x:c>
      <x:c r="C36" s="240" t="str">
        <x:v>102.4T</x:v>
      </x:c>
      <x:c r="D36" s="248" t="n">
        <x:f>'机会输入'!G16*MAX(0,'机会输入'!$B$35)*(1-MAX(0,MIN(1,'规格输入'!G6)))</x:f>
        <x:v>30</x:v>
      </x:c>
      <x:c r="E36" s="248" t="n">
        <x:f>'机会输入'!G21*'机会输入'!G22</x:f>
        <x:v>1152</x:v>
      </x:c>
      <x:c r="F36" s="249" t="str">
        <x:v>通道</x:v>
      </x:c>
      <x:c r="G36" s="242" t="n">
        <x:f>D36*10000*E36</x:f>
        <x:v>345600000</x:v>
      </x:c>
      <x:c r="H36" s="249" t="n">
        <x:f>('机会输入'!G23)*MAX(0,'机会输入'!$C$35)*'规格输入'!$E$7</x:f>
        <x:v>10.88</x:v>
      </x:c>
      <x:c r="I36" s="249" t="n">
        <x:f>H36*MAX(0,'机会输入'!G5)</x:f>
        <x:v>7.833600000000001</x:v>
      </x:c>
      <x:c r="J36" s="250" t="n">
        <x:f>'机会输入'!G24</x:f>
        <x:v>0.45</x:v>
      </x:c>
      <x:c r="K36" s="249" t="n">
        <x:f>G36*I36/100000000</x:f>
        <x:v>27.0729216</x:v>
      </x:c>
      <x:c r="L36" s="249" t="n">
        <x:f>K36*J36</x:f>
        <x:v>12.182814720000001</x:v>
      </x:c>
      <x:c r="M36" s="249" t="n">
        <x:f>L36*'机会输入'!G4</x:f>
        <x:v>4.020328857600001</x:v>
      </x:c>
      <x:c r="N36" s="245"/>
    </x:row>
    <x:row r="37">
      <x:c r="A37" s="240" t="str">
        <x:v>2028E</x:v>
      </x:c>
      <x:c r="B37" s="240" t="str">
        <x:v>FAU棱镜透镜阵列</x:v>
      </x:c>
      <x:c r="C37" s="240" t="str">
        <x:v>204.8T</x:v>
      </x:c>
      <x:c r="D37" s="248" t="n">
        <x:f>'机会输入'!G16*MAX(0,'机会输入'!$B$35)*MAX(0,MIN(1,'规格输入'!G6))</x:f>
        <x:v>20</x:v>
      </x:c>
      <x:c r="E37" s="248" t="n">
        <x:f>'机会输入'!G21*'规格输入'!$E$9</x:f>
        <x:v>2304</x:v>
      </x:c>
      <x:c r="F37" s="249" t="str">
        <x:v>通道</x:v>
      </x:c>
      <x:c r="G37" s="242" t="n">
        <x:f>D37*10000*E37</x:f>
        <x:v>460800000</x:v>
      </x:c>
      <x:c r="H37" s="249" t="n">
        <x:f>('机会输入'!G23)*MAX(0,'机会输入'!$C$35)</x:f>
        <x:v>13.6</x:v>
      </x:c>
      <x:c r="I37" s="249" t="n">
        <x:f>H37*MAX(0,'机会输入'!G5)</x:f>
        <x:v>9.792</x:v>
      </x:c>
      <x:c r="J37" s="250" t="n">
        <x:f>'机会输入'!G24</x:f>
        <x:v>0.45</x:v>
      </x:c>
      <x:c r="K37" s="249" t="n">
        <x:f>G37*I37/100000000</x:f>
        <x:v>45.121536</x:v>
      </x:c>
      <x:c r="L37" s="249" t="n">
        <x:f>K37*J37</x:f>
        <x:v>20.3046912</x:v>
      </x:c>
      <x:c r="M37" s="249" t="n">
        <x:f>L37*'机会输入'!G4</x:f>
        <x:v>6.700548096</x:v>
      </x:c>
      <x:c r="N37" s="245"/>
    </x:row>
    <x:row r="38">
      <x:c r="A38" s="240" t="str">
        <x:v>2028E</x:v>
      </x:c>
      <x:c r="B38" s="240" t="str">
        <x:v>ELS透镜＋热沉</x:v>
      </x:c>
      <x:c r="C38" s="240" t="str">
        <x:v>102.4T</x:v>
      </x:c>
      <x:c r="D38" s="248" t="n">
        <x:f>'机会输入'!G16*MAX(0,'机会输入'!$B$35)*(1-MAX(0,MIN(1,'规格输入'!G6)))</x:f>
        <x:v>30</x:v>
      </x:c>
      <x:c r="E38" s="248" t="n">
        <x:f>'机会输入'!G25</x:f>
        <x:v>128</x:v>
      </x:c>
      <x:c r="F38" s="249" t="str">
        <x:v>套光源配套</x:v>
      </x:c>
      <x:c r="G38" s="242" t="n">
        <x:f>D38*10000*E38</x:f>
        <x:v>38400000</x:v>
      </x:c>
      <x:c r="H38" s="249" t="n">
        <x:f>('机会输入'!G26+'机会输入'!G27)*MAX(0,'机会输入'!$C$35)*'规格输入'!$E$7</x:f>
        <x:v>54.400000000000006</x:v>
      </x:c>
      <x:c r="I38" s="249" t="n">
        <x:f>H38*MAX(0,'机会输入'!G5)</x:f>
        <x:v>39.168</x:v>
      </x:c>
      <x:c r="J38" s="250" t="n">
        <x:f>MAX(0,MIN(1,MAX(0,MIN(1,'机会输入'!G28))*MAX(0,'机会输入'!$F$35)))</x:f>
        <x:v>0.36833333333333335</x:v>
      </x:c>
      <x:c r="K38" s="249" t="n">
        <x:f>G38*I38/100000000</x:f>
        <x:v>15.040512</x:v>
      </x:c>
      <x:c r="L38" s="249" t="n">
        <x:f>K38*J38</x:f>
        <x:v>5.53992192</x:v>
      </x:c>
      <x:c r="M38" s="249" t="n">
        <x:f>L38*'机会输入'!G4</x:f>
        <x:v>1.8281742336000002</x:v>
      </x:c>
      <x:c r="N38" s="245"/>
    </x:row>
    <x:row r="39">
      <x:c r="A39" s="240" t="str">
        <x:v>2028E</x:v>
      </x:c>
      <x:c r="B39" s="240" t="str">
        <x:v>ELS透镜＋热沉</x:v>
      </x:c>
      <x:c r="C39" s="240" t="str">
        <x:v>204.8T</x:v>
      </x:c>
      <x:c r="D39" s="248" t="n">
        <x:f>'机会输入'!G16*MAX(0,'机会输入'!$B$35)*MAX(0,MIN(1,'规格输入'!G6))</x:f>
        <x:v>20</x:v>
      </x:c>
      <x:c r="E39" s="248" t="n">
        <x:f>'机会输入'!G25</x:f>
        <x:v>128</x:v>
      </x:c>
      <x:c r="F39" s="249" t="str">
        <x:v>套光源配套</x:v>
      </x:c>
      <x:c r="G39" s="242" t="n">
        <x:f>D39*10000*E39</x:f>
        <x:v>25600000</x:v>
      </x:c>
      <x:c r="H39" s="249" t="n">
        <x:f>('机会输入'!G26+'机会输入'!G27)*MAX(0,'机会输入'!$C$35)</x:f>
        <x:v>68</x:v>
      </x:c>
      <x:c r="I39" s="249" t="n">
        <x:f>H39*MAX(0,'机会输入'!G5)</x:f>
        <x:v>48.96</x:v>
      </x:c>
      <x:c r="J39" s="250" t="n">
        <x:f>MAX(0,MIN(1,MAX(0,MIN(1,'机会输入'!G28+'规格输入'!$E$8))*MAX(0,'机会输入'!$F$35)))</x:f>
        <x:v>0.41083333333333333</x:v>
      </x:c>
      <x:c r="K39" s="249" t="n">
        <x:f>G39*I39/100000000</x:f>
        <x:v>12.53376</x:v>
      </x:c>
      <x:c r="L39" s="249" t="n">
        <x:f>K39*J39</x:f>
        <x:v>5.149286399999999</x:v>
      </x:c>
      <x:c r="M39" s="249" t="n">
        <x:f>L39*'机会输入'!G4</x:f>
        <x:v>1.6992645119999998</x:v>
      </x:c>
      <x:c r="N39" s="245"/>
    </x:row>
    <x:row r="40">
      <x:c r="A40" s="240" t="str">
        <x:v>2028E</x:v>
      </x:c>
      <x:c r="B40" s="240" t="str">
        <x:v>FAU关键尺寸量测设备</x:v>
      </x:c>
      <x:c r="C40" s="240" t="str">
        <x:v>102.4T</x:v>
      </x:c>
      <x:c r="D40" s="248" t="n">
        <x:f>'机会输入'!G16*MAX(0,'机会输入'!$B$35)*(1-MAX(0,MIN(1,'规格输入'!G6)))</x:f>
        <x:v>30</x:v>
      </x:c>
      <x:c r="E40" s="248" t="n">
        <x:f>'机会输入'!G17/'规格输入'!$E$10</x:f>
        <x:v>0.032</x:v>
      </x:c>
      <x:c r="F40" s="249" t="str">
        <x:v>台设备</x:v>
      </x:c>
      <x:c r="G40" s="242" t="n">
        <x:f>D40*10000*E40</x:f>
        <x:v>9600</x:v>
      </x:c>
      <x:c r="H40" s="249" t="n">
        <x:f>('机会输入'!G30)*MAX(0,'机会输入'!$C$35)*'规格输入'!$E$7</x:f>
        <x:v>54400</x:v>
      </x:c>
      <x:c r="I40" s="249" t="n">
        <x:f>H40</x:f>
        <x:v>54400</x:v>
      </x:c>
      <x:c r="J40" s="250" t="n">
        <x:f>MAX(0,MIN(1,MAX(0,MIN(1,'机会输入'!G31))*MAX(0,'机会输入'!$F$35)))</x:f>
        <x:v>0.3825</x:v>
      </x:c>
      <x:c r="K40" s="249" t="n">
        <x:f>G40*I40/100000000</x:f>
        <x:v>5.2224</x:v>
      </x:c>
      <x:c r="L40" s="249" t="n">
        <x:f>K40*J40</x:f>
        <x:v>1.9975680000000002</x:v>
      </x:c>
      <x:c r="M40" s="249" t="n">
        <x:f>L40*'机会输入'!G4</x:f>
        <x:v>0.6591974400000001</x:v>
      </x:c>
      <x:c r="N40" s="245"/>
    </x:row>
    <x:row r="41">
      <x:c r="A41" s="240" t="str">
        <x:v>2028E</x:v>
      </x:c>
      <x:c r="B41" s="240" t="str">
        <x:v>FAU关键尺寸量测设备</x:v>
      </x:c>
      <x:c r="C41" s="240" t="str">
        <x:v>204.8T</x:v>
      </x:c>
      <x:c r="D41" s="248" t="n">
        <x:f>'机会输入'!G16*MAX(0,'机会输入'!$B$35)*MAX(0,MIN(1,'规格输入'!G6))</x:f>
        <x:v>20</x:v>
      </x:c>
      <x:c r="E41" s="248" t="n">
        <x:f>'机会输入'!G17/'规格输入'!$E$10</x:f>
        <x:v>0.032</x:v>
      </x:c>
      <x:c r="F41" s="249" t="str">
        <x:v>台设备</x:v>
      </x:c>
      <x:c r="G41" s="242" t="n">
        <x:f>D41*10000*E41</x:f>
        <x:v>6400</x:v>
      </x:c>
      <x:c r="H41" s="249" t="n">
        <x:f>('机会输入'!G30)*MAX(0,'机会输入'!$C$35)</x:f>
        <x:v>68000</x:v>
      </x:c>
      <x:c r="I41" s="249" t="n">
        <x:f>H41</x:f>
        <x:v>68000</x:v>
      </x:c>
      <x:c r="J41" s="250" t="n">
        <x:f>MAX(0,MIN(1,MAX(0,MIN(1,'机会输入'!G31+'规格输入'!$E$8))*MAX(0,'机会输入'!$F$35)))</x:f>
        <x:v>0.425</x:v>
      </x:c>
      <x:c r="K41" s="249" t="n">
        <x:f>G41*I41/100000000</x:f>
        <x:v>4.352</x:v>
      </x:c>
      <x:c r="L41" s="249" t="n">
        <x:f>K41*J41</x:f>
        <x:v>1.8496000000000001</x:v>
      </x:c>
      <x:c r="M41" s="249" t="n">
        <x:f>L41*'机会输入'!G4</x:f>
        <x:v>0.610368</x:v>
      </x:c>
      <x:c r="N41" s="245"/>
    </x:row>
    <x:row r="42">
      <x:c r="A42" s="240" t="str">
        <x:v>2029E</x:v>
      </x:c>
      <x:c r="B42" s="240" t="str">
        <x:v>800G可插拔透镜</x:v>
      </x:c>
      <x:c r="C42" s="240" t="str">
        <x:v>800G</x:v>
      </x:c>
      <x:c r="D42" s="248" t="n">
        <x:f>'机会输入'!H7*MAX(0,'机会输入'!$B$35)*1</x:f>
        <x:v>3200</x:v>
      </x:c>
      <x:c r="E42" s="248" t="n">
        <x:f>'机会输入'!H6</x:f>
        <x:v>10</x:v>
      </x:c>
      <x:c r="F42" s="249" t="str">
        <x:v>只透镜</x:v>
      </x:c>
      <x:c r="G42" s="242" t="n">
        <x:f>D42*10000*E42</x:f>
        <x:v>320000000</x:v>
      </x:c>
      <x:c r="H42" s="249" t="n">
        <x:f>('机会输入'!H8)*MAX(0,'机会输入'!$C$35)</x:f>
        <x:v>3.4</x:v>
      </x:c>
      <x:c r="I42" s="249" t="n">
        <x:f>H42*MAX(0,'机会输入'!H32)</x:f>
        <x:v>2.4785999999999997</x:v>
      </x:c>
      <x:c r="J42" s="250" t="n">
        <x:f>MAX(0,MIN(1,MAX(0,MIN(1,'机会输入'!H11))*MAX(0,'机会输入'!$G$35)))</x:f>
        <x:v>0.09000000000000001</x:v>
      </x:c>
      <x:c r="K42" s="249" t="n">
        <x:f>G42*I42/100000000</x:f>
        <x:v>7.931519999999999</x:v>
      </x:c>
      <x:c r="L42" s="249" t="n">
        <x:f>K42*J42</x:f>
        <x:v>0.7138368</x:v>
      </x:c>
      <x:c r="M42" s="249" t="n">
        <x:f>L42*'机会输入'!H4</x:f>
        <x:v>0.23556614400000003</x:v>
      </x:c>
      <x:c r="N42" s="245"/>
    </x:row>
    <x:row r="43">
      <x:c r="A43" s="240" t="str">
        <x:v>2029E</x:v>
      </x:c>
      <x:c r="B43" s="240" t="str">
        <x:v>1.6T可插拔透镜</x:v>
      </x:c>
      <x:c r="C43" s="240" t="str">
        <x:v>1.6T</x:v>
      </x:c>
      <x:c r="D43" s="248" t="n">
        <x:f>'机会输入'!H9*MAX(0,'机会输入'!$B$35)*1</x:f>
        <x:v>14500</x:v>
      </x:c>
      <x:c r="E43" s="248" t="n">
        <x:f>'机会输入'!H6</x:f>
        <x:v>10</x:v>
      </x:c>
      <x:c r="F43" s="249" t="str">
        <x:v>只透镜</x:v>
      </x:c>
      <x:c r="G43" s="242" t="n">
        <x:f>D43*10000*E43</x:f>
        <x:v>1450000000</x:v>
      </x:c>
      <x:c r="H43" s="249" t="n">
        <x:f>('机会输入'!H10)*MAX(0,'机会输入'!$C$35)</x:f>
        <x:v>4.76</x:v>
      </x:c>
      <x:c r="I43" s="249" t="n">
        <x:f>H43*MAX(0,'机会输入'!H32)</x:f>
        <x:v>3.4700399999999996</x:v>
      </x:c>
      <x:c r="J43" s="250" t="n">
        <x:f>MAX(0,MIN(1,MAX(0,MIN(1,'机会输入'!H11))*MAX(0,'机会输入'!$G$35)))</x:f>
        <x:v>0.09000000000000001</x:v>
      </x:c>
      <x:c r="K43" s="249" t="n">
        <x:f>G43*I43/100000000</x:f>
        <x:v>50.31557999999999</x:v>
      </x:c>
      <x:c r="L43" s="249" t="n">
        <x:f>K43*J43</x:f>
        <x:v>4.5284021999999995</x:v>
      </x:c>
      <x:c r="M43" s="249" t="n">
        <x:f>L43*'机会输入'!H4</x:f>
        <x:v>1.494372726</x:v>
      </x:c>
      <x:c r="N43" s="245"/>
    </x:row>
    <x:row r="44">
      <x:c r="A44" s="240" t="str">
        <x:v>2029E</x:v>
      </x:c>
      <x:c r="B44" s="240" t="str">
        <x:v>OCS NxN透镜阵列</x:v>
      </x:c>
      <x:c r="C44" s="240" t="str">
        <x:v>小端口参考系统</x:v>
      </x:c>
      <x:c r="D44" s="248" t="n">
        <x:f>'机会输入'!H12*MAX(0,'机会输入'!$B$35)*(1-MAX(0,MIN(1,'规格输入'!H5)))</x:f>
        <x:v>11.2</x:v>
      </x:c>
      <x:c r="E44" s="248" t="n">
        <x:f>'规格输入'!$E$4</x:f>
        <x:v>256</x:v>
      </x:c>
      <x:c r="F44" s="249" t="str">
        <x:v>总光通道</x:v>
      </x:c>
      <x:c r="G44" s="242" t="n">
        <x:f>D44*10000*E44</x:f>
        <x:v>28672000</x:v>
      </x:c>
      <x:c r="H44" s="249" t="n">
        <x:f>'规格输入'!$M$5</x:f>
        <x:v>15</x:v>
      </x:c>
      <x:c r="I44" s="249" t="n">
        <x:f>H44*MAX(0,'机会输入'!H5)</x:f>
        <x:v>9.72</x:v>
      </x:c>
      <x:c r="J44" s="250" t="n">
        <x:f>MAX(0,MIN(1,MAX(0,MIN(1,'机会输入'!H15))*MAX(0,'机会输入'!$G$35)))</x:f>
        <x:v>0.63</x:v>
      </x:c>
      <x:c r="K44" s="249" t="n">
        <x:f>G44*I44/100000000</x:f>
        <x:v>2.7869184</x:v>
      </x:c>
      <x:c r="L44" s="249" t="n">
        <x:f>K44*J44</x:f>
        <x:v>1.7557585919999998</x:v>
      </x:c>
      <x:c r="M44" s="249" t="n">
        <x:f>L44*'机会输入'!H4</x:f>
        <x:v>0.57940033536</x:v>
      </x:c>
      <x:c r="N44" s="245"/>
    </x:row>
    <x:row r="45">
      <x:c r="A45" s="240" t="str">
        <x:v>2029E</x:v>
      </x:c>
      <x:c r="B45" s="240" t="str">
        <x:v>OCS NxN透镜阵列</x:v>
      </x:c>
      <x:c r="C45" s="240" t="str">
        <x:v>大端口320×320</x:v>
      </x:c>
      <x:c r="D45" s="248" t="n">
        <x:f>'机会输入'!H12*MAX(0,'机会输入'!$B$35)*MAX(0,MIN(1,'规格输入'!H5))</x:f>
        <x:v>20.8</x:v>
      </x:c>
      <x:c r="E45" s="248" t="n">
        <x:f>'机会输入'!H13</x:f>
        <x:v>640</x:v>
      </x:c>
      <x:c r="F45" s="249" t="str">
        <x:v>总光通道</x:v>
      </x:c>
      <x:c r="G45" s="242" t="n">
        <x:f>D45*10000*E45</x:f>
        <x:v>133120000</x:v>
      </x:c>
      <x:c r="H45" s="249" t="n">
        <x:f>'机会输入'!$I$35</x:f>
        <x:v>30</x:v>
      </x:c>
      <x:c r="I45" s="249" t="n">
        <x:f>H45*MAX(0,'机会输入'!H5)</x:f>
        <x:v>19.44</x:v>
      </x:c>
      <x:c r="J45" s="250" t="n">
        <x:f>MAX(0,MIN(1,MAX(0,MIN(1,'机会输入'!H15+'规格输入'!$E$8))*MAX(0,'机会输入'!$G$35)))</x:f>
        <x:v>0.675</x:v>
      </x:c>
      <x:c r="K45" s="249" t="n">
        <x:f>G45*I45/100000000</x:f>
        <x:v>25.878528</x:v>
      </x:c>
      <x:c r="L45" s="249" t="n">
        <x:f>K45*J45</x:f>
        <x:v>17.4680064</x:v>
      </x:c>
      <x:c r="M45" s="249" t="n">
        <x:f>L45*'机会输入'!H4</x:f>
        <x:v>5.764442112</x:v>
      </x:c>
      <x:c r="N45" s="245"/>
    </x:row>
    <x:row r="46">
      <x:c r="A46" s="240" t="str">
        <x:v>2029E</x:v>
      </x:c>
      <x:c r="B46" s="240" t="str">
        <x:v>FAU V型槽</x:v>
      </x:c>
      <x:c r="C46" s="240" t="str">
        <x:v>102.4T</x:v>
      </x:c>
      <x:c r="D46" s="248" t="n">
        <x:f>'机会输入'!H16*MAX(0,'机会输入'!$B$35)*(1-MAX(0,MIN(1,'规格输入'!H6)))</x:f>
        <x:v>29.749999999999996</x:v>
      </x:c>
      <x:c r="E46" s="248" t="n">
        <x:f>'机会输入'!H17*'机会输入'!H18</x:f>
        <x:v>1152</x:v>
      </x:c>
      <x:c r="F46" s="249" t="str">
        <x:v>通道</x:v>
      </x:c>
      <x:c r="G46" s="242" t="n">
        <x:f>D46*10000*E46</x:f>
        <x:v>342719999.99999994</x:v>
      </x:c>
      <x:c r="H46" s="249" t="n">
        <x:f>('机会输入'!H19)*MAX(0,'机会输入'!$C$35)*'规格输入'!$E$7</x:f>
        <x:v>7.616</x:v>
      </x:c>
      <x:c r="I46" s="249" t="n">
        <x:f>H46*MAX(0,'机会输入'!H5)</x:f>
        <x:v>4.935168</x:v>
      </x:c>
      <x:c r="J46" s="250" t="n">
        <x:f>MAX(0,MIN(1,MAX(0,MIN(1,'机会输入'!H20))*MAX(0,'机会输入'!$G$35)))</x:f>
        <x:v>0.54</x:v>
      </x:c>
      <x:c r="K46" s="249" t="n">
        <x:f>G46*I46/100000000</x:f>
        <x:v>16.913807769599998</x:v>
      </x:c>
      <x:c r="L46" s="249" t="n">
        <x:f>K46*J46</x:f>
        <x:v>9.133456195584</x:v>
      </x:c>
      <x:c r="M46" s="249" t="n">
        <x:f>L46*'机会输入'!H4</x:f>
        <x:v>3.01404054454272</x:v>
      </x:c>
      <x:c r="N46" s="245"/>
    </x:row>
    <x:row r="47">
      <x:c r="A47" s="240" t="str">
        <x:v>2029E</x:v>
      </x:c>
      <x:c r="B47" s="240" t="str">
        <x:v>FAU V型槽</x:v>
      </x:c>
      <x:c r="C47" s="240" t="str">
        <x:v>204.8T</x:v>
      </x:c>
      <x:c r="D47" s="248" t="n">
        <x:f>'机会输入'!H16*MAX(0,'机会输入'!$B$35)*MAX(0,MIN(1,'规格输入'!H6))</x:f>
        <x:v>55.25</x:v>
      </x:c>
      <x:c r="E47" s="248" t="n">
        <x:f>'机会输入'!H17*'规格输入'!$E$9</x:f>
        <x:v>2304</x:v>
      </x:c>
      <x:c r="F47" s="249" t="str">
        <x:v>通道</x:v>
      </x:c>
      <x:c r="G47" s="242" t="n">
        <x:f>D47*10000*E47</x:f>
        <x:v>1272960000</x:v>
      </x:c>
      <x:c r="H47" s="249" t="n">
        <x:f>('机会输入'!H19)*MAX(0,'机会输入'!$C$35)</x:f>
        <x:v>9.52</x:v>
      </x:c>
      <x:c r="I47" s="249" t="n">
        <x:f>H47*MAX(0,'机会输入'!H5)</x:f>
        <x:v>6.16896</x:v>
      </x:c>
      <x:c r="J47" s="250" t="n">
        <x:f>MAX(0,MIN(1,MAX(0,MIN(1,'机会输入'!H20+'规格输入'!$E$8))*MAX(0,'机会输入'!$G$35)))</x:f>
        <x:v>0.5850000000000001</x:v>
      </x:c>
      <x:c r="K47" s="249" t="n">
        <x:f>G47*I47/100000000</x:f>
        <x:v>78.528393216</x:v>
      </x:c>
      <x:c r="L47" s="249" t="n">
        <x:f>K47*J47</x:f>
        <x:v>45.93911003136</x:v>
      </x:c>
      <x:c r="M47" s="249" t="n">
        <x:f>L47*'机会输入'!H4</x:f>
        <x:v>15.159906310348802</x:v>
      </x:c>
      <x:c r="N47" s="245"/>
    </x:row>
    <x:row r="48">
      <x:c r="A48" s="240" t="str">
        <x:v>2029E</x:v>
      </x:c>
      <x:c r="B48" s="240" t="str">
        <x:v>FAU棱镜透镜阵列</x:v>
      </x:c>
      <x:c r="C48" s="240" t="str">
        <x:v>102.4T</x:v>
      </x:c>
      <x:c r="D48" s="248" t="n">
        <x:f>'机会输入'!H16*MAX(0,'机会输入'!$B$35)*(1-MAX(0,MIN(1,'规格输入'!H6)))</x:f>
        <x:v>29.749999999999996</x:v>
      </x:c>
      <x:c r="E48" s="248" t="n">
        <x:f>'机会输入'!H21*'机会输入'!H22</x:f>
        <x:v>1152</x:v>
      </x:c>
      <x:c r="F48" s="249" t="str">
        <x:v>通道</x:v>
      </x:c>
      <x:c r="G48" s="242" t="n">
        <x:f>D48*10000*E48</x:f>
        <x:v>342719999.99999994</x:v>
      </x:c>
      <x:c r="H48" s="249" t="n">
        <x:f>('机会输入'!H23)*MAX(0,'机会输入'!$C$35)*'规格输入'!$E$7</x:f>
        <x:v>10.88</x:v>
      </x:c>
      <x:c r="I48" s="249" t="n">
        <x:f>H48*MAX(0,'机会输入'!H5)</x:f>
        <x:v>7.0502400000000005</x:v>
      </x:c>
      <x:c r="J48" s="250" t="n">
        <x:f>'机会输入'!H24</x:f>
        <x:v>0.45</x:v>
      </x:c>
      <x:c r="K48" s="249" t="n">
        <x:f>G48*I48/100000000</x:f>
        <x:v>24.162582527999998</x:v>
      </x:c>
      <x:c r="L48" s="249" t="n">
        <x:f>K48*J48</x:f>
        <x:v>10.8731621376</x:v>
      </x:c>
      <x:c r="M48" s="249" t="n">
        <x:f>L48*'机会输入'!H4</x:f>
        <x:v>3.588143505408</x:v>
      </x:c>
      <x:c r="N48" s="245"/>
    </x:row>
    <x:row r="49">
      <x:c r="A49" s="240" t="str">
        <x:v>2029E</x:v>
      </x:c>
      <x:c r="B49" s="240" t="str">
        <x:v>FAU棱镜透镜阵列</x:v>
      </x:c>
      <x:c r="C49" s="240" t="str">
        <x:v>204.8T</x:v>
      </x:c>
      <x:c r="D49" s="248" t="n">
        <x:f>'机会输入'!H16*MAX(0,'机会输入'!$B$35)*MAX(0,MIN(1,'规格输入'!H6))</x:f>
        <x:v>55.25</x:v>
      </x:c>
      <x:c r="E49" s="248" t="n">
        <x:f>'机会输入'!H21*'规格输入'!$E$9</x:f>
        <x:v>2304</x:v>
      </x:c>
      <x:c r="F49" s="249" t="str">
        <x:v>通道</x:v>
      </x:c>
      <x:c r="G49" s="242" t="n">
        <x:f>D49*10000*E49</x:f>
        <x:v>1272960000</x:v>
      </x:c>
      <x:c r="H49" s="249" t="n">
        <x:f>('机会输入'!H23)*MAX(0,'机会输入'!$C$35)</x:f>
        <x:v>13.6</x:v>
      </x:c>
      <x:c r="I49" s="249" t="n">
        <x:f>H49*MAX(0,'机会输入'!H5)</x:f>
        <x:v>8.8128</x:v>
      </x:c>
      <x:c r="J49" s="250" t="n">
        <x:f>'机会输入'!H24</x:f>
        <x:v>0.45</x:v>
      </x:c>
      <x:c r="K49" s="249" t="n">
        <x:f>G49*I49/100000000</x:f>
        <x:v>112.18341888</x:v>
      </x:c>
      <x:c r="L49" s="249" t="n">
        <x:f>K49*J49</x:f>
        <x:v>50.482538496000004</x:v>
      </x:c>
      <x:c r="M49" s="249" t="n">
        <x:f>L49*'机会输入'!H4</x:f>
        <x:v>16.659237703680002</x:v>
      </x:c>
      <x:c r="N49" s="245"/>
    </x:row>
    <x:row r="50">
      <x:c r="A50" s="240" t="str">
        <x:v>2029E</x:v>
      </x:c>
      <x:c r="B50" s="240" t="str">
        <x:v>ELS透镜＋热沉</x:v>
      </x:c>
      <x:c r="C50" s="240" t="str">
        <x:v>102.4T</x:v>
      </x:c>
      <x:c r="D50" s="248" t="n">
        <x:f>'机会输入'!H16*MAX(0,'机会输入'!$B$35)*(1-MAX(0,MIN(1,'规格输入'!H6)))</x:f>
        <x:v>29.749999999999996</x:v>
      </x:c>
      <x:c r="E50" s="248" t="n">
        <x:f>'机会输入'!H25</x:f>
        <x:v>128</x:v>
      </x:c>
      <x:c r="F50" s="249" t="str">
        <x:v>套光源配套</x:v>
      </x:c>
      <x:c r="G50" s="242" t="n">
        <x:f>D50*10000*E50</x:f>
        <x:v>38079999.99999999</x:v>
      </x:c>
      <x:c r="H50" s="249" t="n">
        <x:f>('机会输入'!H26+'机会输入'!H27)*MAX(0,'机会输入'!$C$35)*'规格输入'!$E$7</x:f>
        <x:v>54.400000000000006</x:v>
      </x:c>
      <x:c r="I50" s="249" t="n">
        <x:f>H50*MAX(0,'机会输入'!H5)</x:f>
        <x:v>35.251200000000004</x:v>
      </x:c>
      <x:c r="J50" s="250" t="n">
        <x:f>MAX(0,MIN(1,MAX(0,MIN(1,'机会输入'!H28))*MAX(0,'机会输入'!$G$35)))</x:f>
        <x:v>0.375</x:v>
      </x:c>
      <x:c r="K50" s="249" t="n">
        <x:f>G50*I50/100000000</x:f>
        <x:v>13.42365696</x:v>
      </x:c>
      <x:c r="L50" s="249" t="n">
        <x:f>K50*J50</x:f>
        <x:v>5.03387136</x:v>
      </x:c>
      <x:c r="M50" s="249" t="n">
        <x:f>L50*'机会输入'!H4</x:f>
        <x:v>1.6611775488</x:v>
      </x:c>
      <x:c r="N50" s="245"/>
    </x:row>
    <x:row r="51">
      <x:c r="A51" s="240" t="str">
        <x:v>2029E</x:v>
      </x:c>
      <x:c r="B51" s="240" t="str">
        <x:v>ELS透镜＋热沉</x:v>
      </x:c>
      <x:c r="C51" s="240" t="str">
        <x:v>204.8T</x:v>
      </x:c>
      <x:c r="D51" s="248" t="n">
        <x:f>'机会输入'!H16*MAX(0,'机会输入'!$B$35)*MAX(0,MIN(1,'规格输入'!H6))</x:f>
        <x:v>55.25</x:v>
      </x:c>
      <x:c r="E51" s="248" t="n">
        <x:f>'机会输入'!H25</x:f>
        <x:v>128</x:v>
      </x:c>
      <x:c r="F51" s="249" t="str">
        <x:v>套光源配套</x:v>
      </x:c>
      <x:c r="G51" s="242" t="n">
        <x:f>D51*10000*E51</x:f>
        <x:v>70720000</x:v>
      </x:c>
      <x:c r="H51" s="249" t="n">
        <x:f>('机会输入'!H26+'机会输入'!H27)*MAX(0,'机会输入'!$C$35)</x:f>
        <x:v>68</x:v>
      </x:c>
      <x:c r="I51" s="249" t="n">
        <x:f>H51*MAX(0,'机会输入'!H5)</x:f>
        <x:v>44.064</x:v>
      </x:c>
      <x:c r="J51" s="250" t="n">
        <x:f>MAX(0,MIN(1,MAX(0,MIN(1,'机会输入'!H28+'规格输入'!$E$8))*MAX(0,'机会输入'!$G$35)))</x:f>
        <x:v>0.42000000000000004</x:v>
      </x:c>
      <x:c r="K51" s="249" t="n">
        <x:f>G51*I51/100000000</x:f>
        <x:v>31.1620608</x:v>
      </x:c>
      <x:c r="L51" s="249" t="n">
        <x:f>K51*J51</x:f>
        <x:v>13.088065536</x:v>
      </x:c>
      <x:c r="M51" s="249" t="n">
        <x:f>L51*'机会输入'!H4</x:f>
        <x:v>4.31906162688</x:v>
      </x:c>
      <x:c r="N51" s="245"/>
    </x:row>
    <x:row r="52">
      <x:c r="A52" s="240" t="str">
        <x:v>2029E</x:v>
      </x:c>
      <x:c r="B52" s="240" t="str">
        <x:v>FAU关键尺寸量测设备</x:v>
      </x:c>
      <x:c r="C52" s="240" t="str">
        <x:v>102.4T</x:v>
      </x:c>
      <x:c r="D52" s="248" t="n">
        <x:f>'机会输入'!H16*MAX(0,'机会输入'!$B$35)*(1-MAX(0,MIN(1,'规格输入'!H6)))</x:f>
        <x:v>29.749999999999996</x:v>
      </x:c>
      <x:c r="E52" s="248" t="n">
        <x:f>'机会输入'!H17/'规格输入'!$E$10</x:f>
        <x:v>0.032</x:v>
      </x:c>
      <x:c r="F52" s="249" t="str">
        <x:v>台设备</x:v>
      </x:c>
      <x:c r="G52" s="242" t="n">
        <x:f>D52*10000*E52</x:f>
        <x:v>9519.999999999998</x:v>
      </x:c>
      <x:c r="H52" s="249" t="n">
        <x:f>('机会输入'!H30)*MAX(0,'机会输入'!$C$35)*'规格输入'!$E$7</x:f>
        <x:v>54400</x:v>
      </x:c>
      <x:c r="I52" s="249" t="n">
        <x:f>H52</x:f>
        <x:v>54400</x:v>
      </x:c>
      <x:c r="J52" s="250" t="n">
        <x:f>MAX(0,MIN(1,MAX(0,MIN(1,'机会输入'!H31))*MAX(0,'机会输入'!$G$35)))</x:f>
        <x:v>0.45</x:v>
      </x:c>
      <x:c r="K52" s="249" t="n">
        <x:f>G52*I52/100000000</x:f>
        <x:v>5.178879999999999</x:v>
      </x:c>
      <x:c r="L52" s="249" t="n">
        <x:f>K52*J52</x:f>
        <x:v>2.3304959999999992</x:v>
      </x:c>
      <x:c r="M52" s="249" t="n">
        <x:f>L52*'机会输入'!H4</x:f>
        <x:v>0.7690636799999998</x:v>
      </x:c>
      <x:c r="N52" s="245"/>
    </x:row>
    <x:row r="53">
      <x:c r="A53" s="240" t="str">
        <x:v>2029E</x:v>
      </x:c>
      <x:c r="B53" s="240" t="str">
        <x:v>FAU关键尺寸量测设备</x:v>
      </x:c>
      <x:c r="C53" s="240" t="str">
        <x:v>204.8T</x:v>
      </x:c>
      <x:c r="D53" s="248" t="n">
        <x:f>'机会输入'!H16*MAX(0,'机会输入'!$B$35)*MAX(0,MIN(1,'规格输入'!H6))</x:f>
        <x:v>55.25</x:v>
      </x:c>
      <x:c r="E53" s="248" t="n">
        <x:f>'机会输入'!H17/'规格输入'!$E$10</x:f>
        <x:v>0.032</x:v>
      </x:c>
      <x:c r="F53" s="249" t="str">
        <x:v>台设备</x:v>
      </x:c>
      <x:c r="G53" s="242" t="n">
        <x:f>D53*10000*E53</x:f>
        <x:v>17680</x:v>
      </x:c>
      <x:c r="H53" s="249" t="n">
        <x:f>('机会输入'!H30)*MAX(0,'机会输入'!$C$35)</x:f>
        <x:v>68000</x:v>
      </x:c>
      <x:c r="I53" s="249" t="n">
        <x:f>H53</x:f>
        <x:v>68000</x:v>
      </x:c>
      <x:c r="J53" s="250" t="n">
        <x:f>MAX(0,MIN(1,MAX(0,MIN(1,'机会输入'!H31+'规格输入'!$E$8))*MAX(0,'机会输入'!$G$35)))</x:f>
        <x:v>0.49500000000000005</x:v>
      </x:c>
      <x:c r="K53" s="249" t="n">
        <x:f>G53*I53/100000000</x:f>
        <x:v>12.0224</x:v>
      </x:c>
      <x:c r="L53" s="249" t="n">
        <x:f>K53*J53</x:f>
        <x:v>5.951088</x:v>
      </x:c>
      <x:c r="M53" s="249" t="n">
        <x:f>L53*'机会输入'!H4</x:f>
        <x:v>1.9638590400000002</x:v>
      </x:c>
      <x:c r="N53" s="245"/>
    </x:row>
    <x:row r="54">
      <x:c r="A54" s="240" t="str">
        <x:v>2030E</x:v>
      </x:c>
      <x:c r="B54" s="240" t="str">
        <x:v>800G可插拔透镜</x:v>
      </x:c>
      <x:c r="C54" s="240" t="str">
        <x:v>800G</x:v>
      </x:c>
      <x:c r="D54" s="248" t="n">
        <x:f>'机会输入'!I7*MAX(0,'机会输入'!$B$35)*1</x:f>
        <x:v>1800</x:v>
      </x:c>
      <x:c r="E54" s="248" t="n">
        <x:f>'机会输入'!I6</x:f>
        <x:v>10</x:v>
      </x:c>
      <x:c r="F54" s="249" t="str">
        <x:v>只透镜</x:v>
      </x:c>
      <x:c r="G54" s="242" t="n">
        <x:f>D54*10000*E54</x:f>
        <x:v>180000000</x:v>
      </x:c>
      <x:c r="H54" s="249" t="n">
        <x:f>('机会输入'!I8)*MAX(0,'机会输入'!$C$35)</x:f>
        <x:v>3.4</x:v>
      </x:c>
      <x:c r="I54" s="249" t="n">
        <x:f>H54*MAX(0,'机会输入'!I32)</x:f>
        <x:v>2.23074</x:v>
      </x:c>
      <x:c r="J54" s="250" t="n">
        <x:f>MAX(0,MIN(1,MAX(0,MIN(1,'机会输入'!I11))*MAX(0,'机会输入'!$H$35)))</x:f>
        <x:v>0.09000000000000001</x:v>
      </x:c>
      <x:c r="K54" s="249" t="n">
        <x:f>G54*I54/100000000</x:f>
        <x:v>4.015332</x:v>
      </x:c>
      <x:c r="L54" s="249" t="n">
        <x:f>K54*J54</x:f>
        <x:v>0.36137988000000004</x:v>
      </x:c>
      <x:c r="M54" s="249" t="n">
        <x:f>L54*'机会输入'!I4</x:f>
        <x:v>0.11925536040000002</x:v>
      </x:c>
      <x:c r="N54" s="245"/>
    </x:row>
    <x:row r="55">
      <x:c r="A55" s="240" t="str">
        <x:v>2030E</x:v>
      </x:c>
      <x:c r="B55" s="240" t="str">
        <x:v>1.6T可插拔透镜</x:v>
      </x:c>
      <x:c r="C55" s="240" t="str">
        <x:v>1.6T</x:v>
      </x:c>
      <x:c r="D55" s="248" t="n">
        <x:f>'机会输入'!I9*MAX(0,'机会输入'!$B$35)*1</x:f>
        <x:v>16000</x:v>
      </x:c>
      <x:c r="E55" s="248" t="n">
        <x:f>'机会输入'!I6</x:f>
        <x:v>10</x:v>
      </x:c>
      <x:c r="F55" s="249" t="str">
        <x:v>只透镜</x:v>
      </x:c>
      <x:c r="G55" s="242" t="n">
        <x:f>D55*10000*E55</x:f>
        <x:v>1600000000</x:v>
      </x:c>
      <x:c r="H55" s="249" t="n">
        <x:f>('机会输入'!I10)*MAX(0,'机会输入'!$C$35)</x:f>
        <x:v>4.76</x:v>
      </x:c>
      <x:c r="I55" s="249" t="n">
        <x:f>H55*MAX(0,'机会输入'!I32)</x:f>
        <x:v>3.123036</x:v>
      </x:c>
      <x:c r="J55" s="250" t="n">
        <x:f>MAX(0,MIN(1,MAX(0,MIN(1,'机会输入'!I11))*MAX(0,'机会输入'!$H$35)))</x:f>
        <x:v>0.09000000000000001</x:v>
      </x:c>
      <x:c r="K55" s="249" t="n">
        <x:f>G55*I55/100000000</x:f>
        <x:v>49.968576</x:v>
      </x:c>
      <x:c r="L55" s="249" t="n">
        <x:f>K55*J55</x:f>
        <x:v>4.49717184</x:v>
      </x:c>
      <x:c r="M55" s="249" t="n">
        <x:f>L55*'机会输入'!I4</x:f>
        <x:v>1.4840667072</x:v>
      </x:c>
      <x:c r="N55" s="245"/>
    </x:row>
    <x:row r="56">
      <x:c r="A56" s="240" t="str">
        <x:v>2030E</x:v>
      </x:c>
      <x:c r="B56" s="240" t="str">
        <x:v>OCS NxN透镜阵列</x:v>
      </x:c>
      <x:c r="C56" s="240" t="str">
        <x:v>小端口参考系统</x:v>
      </x:c>
      <x:c r="D56" s="248" t="n">
        <x:f>'机会输入'!I12*MAX(0,'机会输入'!$B$35)*(1-MAX(0,MIN(1,'规格输入'!I5)))</x:f>
        <x:v>11.25</x:v>
      </x:c>
      <x:c r="E56" s="248" t="n">
        <x:f>'规格输入'!$E$4</x:f>
        <x:v>256</x:v>
      </x:c>
      <x:c r="F56" s="249" t="str">
        <x:v>总光通道</x:v>
      </x:c>
      <x:c r="G56" s="242" t="n">
        <x:f>D56*10000*E56</x:f>
        <x:v>28800000</x:v>
      </x:c>
      <x:c r="H56" s="249" t="n">
        <x:f>'规格输入'!$M$5</x:f>
        <x:v>15</x:v>
      </x:c>
      <x:c r="I56" s="249" t="n">
        <x:f>H56*MAX(0,'机会输入'!I5)</x:f>
        <x:v>8.748000000000001</x:v>
      </x:c>
      <x:c r="J56" s="250" t="n">
        <x:f>MAX(0,MIN(1,MAX(0,MIN(1,'机会输入'!I15))*MAX(0,'机会输入'!$H$35)))</x:f>
        <x:v>0.54</x:v>
      </x:c>
      <x:c r="K56" s="249" t="n">
        <x:f>G56*I56/100000000</x:f>
        <x:v>2.5194240000000003</x:v>
      </x:c>
      <x:c r="L56" s="249" t="n">
        <x:f>K56*J56</x:f>
        <x:v>1.3604889600000003</x:v>
      </x:c>
      <x:c r="M56" s="249" t="n">
        <x:f>L56*'机会输入'!I4</x:f>
        <x:v>0.4489613568000001</x:v>
      </x:c>
      <x:c r="N56" s="245"/>
    </x:row>
    <x:row r="57">
      <x:c r="A57" s="240" t="str">
        <x:v>2030E</x:v>
      </x:c>
      <x:c r="B57" s="240" t="str">
        <x:v>OCS NxN透镜阵列</x:v>
      </x:c>
      <x:c r="C57" s="240" t="str">
        <x:v>大端口320×320</x:v>
      </x:c>
      <x:c r="D57" s="248" t="n">
        <x:f>'机会输入'!I12*MAX(0,'机会输入'!$B$35)*MAX(0,MIN(1,'规格输入'!I5))</x:f>
        <x:v>33.75</x:v>
      </x:c>
      <x:c r="E57" s="248" t="n">
        <x:f>'机会输入'!I13</x:f>
        <x:v>640</x:v>
      </x:c>
      <x:c r="F57" s="249" t="str">
        <x:v>总光通道</x:v>
      </x:c>
      <x:c r="G57" s="242" t="n">
        <x:f>D57*10000*E57</x:f>
        <x:v>216000000</x:v>
      </x:c>
      <x:c r="H57" s="249" t="n">
        <x:f>'机会输入'!$I$35</x:f>
        <x:v>30</x:v>
      </x:c>
      <x:c r="I57" s="249" t="n">
        <x:f>H57*MAX(0,'机会输入'!I5)</x:f>
        <x:v>17.496000000000002</x:v>
      </x:c>
      <x:c r="J57" s="250" t="n">
        <x:f>MAX(0,MIN(1,MAX(0,MIN(1,'机会输入'!I15+'规格输入'!$E$8))*MAX(0,'机会输入'!$H$35)))</x:f>
        <x:v>0.5850000000000001</x:v>
      </x:c>
      <x:c r="K57" s="249" t="n">
        <x:f>G57*I57/100000000</x:f>
        <x:v>37.791360000000005</x:v>
      </x:c>
      <x:c r="L57" s="249" t="n">
        <x:f>K57*J57</x:f>
        <x:v>22.107945600000004</x:v>
      </x:c>
      <x:c r="M57" s="249" t="n">
        <x:f>L57*'机会输入'!I4</x:f>
        <x:v>7.295622048000002</x:v>
      </x:c>
      <x:c r="N57" s="245"/>
    </x:row>
    <x:row r="58">
      <x:c r="A58" s="240" t="str">
        <x:v>2030E</x:v>
      </x:c>
      <x:c r="B58" s="240" t="str">
        <x:v>FAU V型槽</x:v>
      </x:c>
      <x:c r="C58" s="240" t="str">
        <x:v>102.4T</x:v>
      </x:c>
      <x:c r="D58" s="248" t="n">
        <x:f>'机会输入'!I16*MAX(0,'机会输入'!$B$35)*(1-MAX(0,MIN(1,'规格输入'!I6)))</x:f>
        <x:v>23.999999999999993</x:v>
      </x:c>
      <x:c r="E58" s="248" t="n">
        <x:f>'机会输入'!I17*'机会输入'!I18</x:f>
        <x:v>1152</x:v>
      </x:c>
      <x:c r="F58" s="249" t="str">
        <x:v>通道</x:v>
      </x:c>
      <x:c r="G58" s="242" t="n">
        <x:f>D58*10000*E58</x:f>
        <x:v>276479999.99999994</x:v>
      </x:c>
      <x:c r="H58" s="249" t="n">
        <x:f>('机会输入'!I19)*MAX(0,'机会输入'!$C$35)*'规格输入'!$E$7</x:f>
        <x:v>7.616</x:v>
      </x:c>
      <x:c r="I58" s="249" t="n">
        <x:f>H58*MAX(0,'机会输入'!I5)</x:f>
        <x:v>4.4416512</x:v>
      </x:c>
      <x:c r="J58" s="250" t="n">
        <x:f>MAX(0,MIN(1,MAX(0,MIN(1,'机会输入'!I20))*MAX(0,'机会输入'!$H$35)))</x:f>
        <x:v>0.5850000000000001</x:v>
      </x:c>
      <x:c r="K58" s="249" t="n">
        <x:f>G58*I58/100000000</x:f>
        <x:v>12.280277237759998</x:v>
      </x:c>
      <x:c r="L58" s="249" t="n">
        <x:f>K58*J58</x:f>
        <x:v>7.1839621840896</x:v>
      </x:c>
      <x:c r="M58" s="249" t="n">
        <x:f>L58*'机会输入'!I4</x:f>
        <x:v>2.370707520749568</x:v>
      </x:c>
      <x:c r="N58" s="245"/>
    </x:row>
    <x:row r="59">
      <x:c r="A59" s="240" t="str">
        <x:v>2030E</x:v>
      </x:c>
      <x:c r="B59" s="240" t="str">
        <x:v>FAU V型槽</x:v>
      </x:c>
      <x:c r="C59" s="240" t="str">
        <x:v>204.8T</x:v>
      </x:c>
      <x:c r="D59" s="248" t="n">
        <x:f>'机会输入'!I16*MAX(0,'机会输入'!$B$35)*MAX(0,MIN(1,'规格输入'!I6))</x:f>
        <x:v>96</x:v>
      </x:c>
      <x:c r="E59" s="248" t="n">
        <x:f>'机会输入'!I17*'规格输入'!$E$9</x:f>
        <x:v>2304</x:v>
      </x:c>
      <x:c r="F59" s="249" t="str">
        <x:v>通道</x:v>
      </x:c>
      <x:c r="G59" s="242" t="n">
        <x:f>D59*10000*E59</x:f>
        <x:v>2211840000</x:v>
      </x:c>
      <x:c r="H59" s="249" t="n">
        <x:f>('机会输入'!I19)*MAX(0,'机会输入'!$C$35)</x:f>
        <x:v>9.52</x:v>
      </x:c>
      <x:c r="I59" s="249" t="n">
        <x:f>H59*MAX(0,'机会输入'!I5)</x:f>
        <x:v>5.5520640000000006</x:v>
      </x:c>
      <x:c r="J59" s="250" t="n">
        <x:f>MAX(0,MIN(1,MAX(0,MIN(1,'机会输入'!I20+'规格输入'!$E$8))*MAX(0,'机会输入'!$H$35)))</x:f>
        <x:v>0.6300000000000001</x:v>
      </x:c>
      <x:c r="K59" s="249" t="n">
        <x:f>G59*I59/100000000</x:f>
        <x:v>122.80277237760002</x:v>
      </x:c>
      <x:c r="L59" s="249" t="n">
        <x:f>K59*J59</x:f>
        <x:v>77.36574659788803</x:v>
      </x:c>
      <x:c r="M59" s="249" t="n">
        <x:f>L59*'机会输入'!I4</x:f>
        <x:v>25.53069637730305</x:v>
      </x:c>
      <x:c r="N59" s="245"/>
    </x:row>
    <x:row r="60">
      <x:c r="A60" s="240" t="str">
        <x:v>2030E</x:v>
      </x:c>
      <x:c r="B60" s="240" t="str">
        <x:v>FAU棱镜透镜阵列</x:v>
      </x:c>
      <x:c r="C60" s="240" t="str">
        <x:v>102.4T</x:v>
      </x:c>
      <x:c r="D60" s="248" t="n">
        <x:f>'机会输入'!I16*MAX(0,'机会输入'!$B$35)*(1-MAX(0,MIN(1,'规格输入'!I6)))</x:f>
        <x:v>23.999999999999993</x:v>
      </x:c>
      <x:c r="E60" s="248" t="n">
        <x:f>'机会输入'!I21*'机会输入'!I22</x:f>
        <x:v>1152</x:v>
      </x:c>
      <x:c r="F60" s="249" t="str">
        <x:v>通道</x:v>
      </x:c>
      <x:c r="G60" s="242" t="n">
        <x:f>D60*10000*E60</x:f>
        <x:v>276479999.99999994</x:v>
      </x:c>
      <x:c r="H60" s="249" t="n">
        <x:f>('机会输入'!I23)*MAX(0,'机会输入'!$C$35)*'规格输入'!$E$7</x:f>
        <x:v>10.88</x:v>
      </x:c>
      <x:c r="I60" s="249" t="n">
        <x:f>H60*MAX(0,'机会输入'!I5)</x:f>
        <x:v>6.345216000000001</x:v>
      </x:c>
      <x:c r="J60" s="250" t="n">
        <x:f>'机会输入'!I24</x:f>
        <x:v>0.45</x:v>
      </x:c>
      <x:c r="K60" s="249" t="n">
        <x:f>G60*I60/100000000</x:f>
        <x:v>17.5432531968</x:v>
      </x:c>
      <x:c r="L60" s="249" t="n">
        <x:f>K60*J60</x:f>
        <x:v>7.8944639385599995</x:v>
      </x:c>
      <x:c r="M60" s="249" t="n">
        <x:f>L60*'机会输入'!I4</x:f>
        <x:v>2.6051730997248</x:v>
      </x:c>
      <x:c r="N60" s="245"/>
    </x:row>
    <x:row r="61">
      <x:c r="A61" s="240" t="str">
        <x:v>2030E</x:v>
      </x:c>
      <x:c r="B61" s="240" t="str">
        <x:v>FAU棱镜透镜阵列</x:v>
      </x:c>
      <x:c r="C61" s="240" t="str">
        <x:v>204.8T</x:v>
      </x:c>
      <x:c r="D61" s="248" t="n">
        <x:f>'机会输入'!I16*MAX(0,'机会输入'!$B$35)*MAX(0,MIN(1,'规格输入'!I6))</x:f>
        <x:v>96</x:v>
      </x:c>
      <x:c r="E61" s="248" t="n">
        <x:f>'机会输入'!I21*'规格输入'!$E$9</x:f>
        <x:v>2304</x:v>
      </x:c>
      <x:c r="F61" s="249" t="str">
        <x:v>通道</x:v>
      </x:c>
      <x:c r="G61" s="242" t="n">
        <x:f>D61*10000*E61</x:f>
        <x:v>2211840000</x:v>
      </x:c>
      <x:c r="H61" s="249" t="n">
        <x:f>('机会输入'!I23)*MAX(0,'机会输入'!$C$35)</x:f>
        <x:v>13.6</x:v>
      </x:c>
      <x:c r="I61" s="249" t="n">
        <x:f>H61*MAX(0,'机会输入'!I5)</x:f>
        <x:v>7.931520000000001</x:v>
      </x:c>
      <x:c r="J61" s="250" t="n">
        <x:f>'机会输入'!I24</x:f>
        <x:v>0.45</x:v>
      </x:c>
      <x:c r="K61" s="249" t="n">
        <x:f>G61*I61/100000000</x:f>
        <x:v>175.43253196800003</x:v>
      </x:c>
      <x:c r="L61" s="249" t="n">
        <x:f>K61*J61</x:f>
        <x:v>78.94463938560001</x:v>
      </x:c>
      <x:c r="M61" s="249" t="n">
        <x:f>L61*'机会输入'!I4</x:f>
        <x:v>26.051730997248004</x:v>
      </x:c>
      <x:c r="N61" s="245"/>
    </x:row>
    <x:row r="62">
      <x:c r="A62" s="240" t="str">
        <x:v>2030E</x:v>
      </x:c>
      <x:c r="B62" s="240" t="str">
        <x:v>ELS透镜＋热沉</x:v>
      </x:c>
      <x:c r="C62" s="240" t="str">
        <x:v>102.4T</x:v>
      </x:c>
      <x:c r="D62" s="248" t="n">
        <x:f>'机会输入'!I16*MAX(0,'机会输入'!$B$35)*(1-MAX(0,MIN(1,'规格输入'!I6)))</x:f>
        <x:v>23.999999999999993</x:v>
      </x:c>
      <x:c r="E62" s="248" t="n">
        <x:f>'机会输入'!I25</x:f>
        <x:v>128</x:v>
      </x:c>
      <x:c r="F62" s="249" t="str">
        <x:v>套光源配套</x:v>
      </x:c>
      <x:c r="G62" s="242" t="n">
        <x:f>D62*10000*E62</x:f>
        <x:v>30719999.999999993</x:v>
      </x:c>
      <x:c r="H62" s="249" t="n">
        <x:f>('机会输入'!I26+'机会输入'!I27)*MAX(0,'机会输入'!$C$35)*'规格输入'!$E$7</x:f>
        <x:v>54.400000000000006</x:v>
      </x:c>
      <x:c r="I62" s="249" t="n">
        <x:f>H62*MAX(0,'机会输入'!I5)</x:f>
        <x:v>31.726080000000007</x:v>
      </x:c>
      <x:c r="J62" s="250" t="n">
        <x:f>MAX(0,MIN(1,MAX(0,MIN(1,'机会输入'!I28))*MAX(0,'机会输入'!$H$35)))</x:f>
        <x:v>0.36000000000000004</x:v>
      </x:c>
      <x:c r="K62" s="249" t="n">
        <x:f>G62*I62/100000000</x:f>
        <x:v>9.746251776</x:v>
      </x:c>
      <x:c r="L62" s="249" t="n">
        <x:f>K62*J62</x:f>
        <x:v>3.5086506393600003</x:v>
      </x:c>
      <x:c r="M62" s="249" t="n">
        <x:f>L62*'机会输入'!I4</x:f>
        <x:v>1.1578547109888002</x:v>
      </x:c>
      <x:c r="N62" s="245"/>
    </x:row>
    <x:row r="63">
      <x:c r="A63" s="240" t="str">
        <x:v>2030E</x:v>
      </x:c>
      <x:c r="B63" s="240" t="str">
        <x:v>ELS透镜＋热沉</x:v>
      </x:c>
      <x:c r="C63" s="240" t="str">
        <x:v>204.8T</x:v>
      </x:c>
      <x:c r="D63" s="248" t="n">
        <x:f>'机会输入'!I16*MAX(0,'机会输入'!$B$35)*MAX(0,MIN(1,'规格输入'!I6))</x:f>
        <x:v>96</x:v>
      </x:c>
      <x:c r="E63" s="248" t="n">
        <x:f>'机会输入'!I25</x:f>
        <x:v>128</x:v>
      </x:c>
      <x:c r="F63" s="249" t="str">
        <x:v>套光源配套</x:v>
      </x:c>
      <x:c r="G63" s="242" t="n">
        <x:f>D63*10000*E63</x:f>
        <x:v>122880000</x:v>
      </x:c>
      <x:c r="H63" s="249" t="n">
        <x:f>('机会输入'!I26+'机会输入'!I27)*MAX(0,'机会输入'!$C$35)</x:f>
        <x:v>68</x:v>
      </x:c>
      <x:c r="I63" s="249" t="n">
        <x:f>H63*MAX(0,'机会输入'!I5)</x:f>
        <x:v>39.6576</x:v>
      </x:c>
      <x:c r="J63" s="250" t="n">
        <x:f>MAX(0,MIN(1,MAX(0,MIN(1,'机会输入'!I28+'规格输入'!$E$8))*MAX(0,'机会输入'!$H$35)))</x:f>
        <x:v>0.405</x:v>
      </x:c>
      <x:c r="K63" s="249" t="n">
        <x:f>G63*I63/100000000</x:f>
        <x:v>48.73125888</x:v>
      </x:c>
      <x:c r="L63" s="249" t="n">
        <x:f>K63*J63</x:f>
        <x:v>19.7361598464</x:v>
      </x:c>
      <x:c r="M63" s="249" t="n">
        <x:f>L63*'机会输入'!I4</x:f>
        <x:v>6.512932749312</x:v>
      </x:c>
      <x:c r="N63" s="245"/>
    </x:row>
    <x:row r="64">
      <x:c r="A64" s="240" t="str">
        <x:v>2030E</x:v>
      </x:c>
      <x:c r="B64" s="240" t="str">
        <x:v>FAU关键尺寸量测设备</x:v>
      </x:c>
      <x:c r="C64" s="240" t="str">
        <x:v>102.4T</x:v>
      </x:c>
      <x:c r="D64" s="248" t="n">
        <x:f>'机会输入'!I16*MAX(0,'机会输入'!$B$35)*(1-MAX(0,MIN(1,'规格输入'!I6)))</x:f>
        <x:v>23.999999999999993</x:v>
      </x:c>
      <x:c r="E64" s="248" t="n">
        <x:f>'机会输入'!I17/'规格输入'!$E$10</x:f>
        <x:v>0.032</x:v>
      </x:c>
      <x:c r="F64" s="249" t="str">
        <x:v>台设备</x:v>
      </x:c>
      <x:c r="G64" s="242" t="n">
        <x:f>D64*10000*E64</x:f>
        <x:v>7679.999999999998</x:v>
      </x:c>
      <x:c r="H64" s="249" t="n">
        <x:f>('机会输入'!I30)*MAX(0,'机会输入'!$C$35)*'规格输入'!$E$7</x:f>
        <x:v>54400</x:v>
      </x:c>
      <x:c r="I64" s="249" t="n">
        <x:f>H64</x:f>
        <x:v>54400</x:v>
      </x:c>
      <x:c r="J64" s="250" t="n">
        <x:f>MAX(0,MIN(1,MAX(0,MIN(1,'机会输入'!I31))*MAX(0,'机会输入'!$H$35)))</x:f>
        <x:v>0.49500000000000005</x:v>
      </x:c>
      <x:c r="K64" s="249" t="n">
        <x:f>G64*I64/100000000</x:f>
        <x:v>4.1779199999999985</x:v>
      </x:c>
      <x:c r="L64" s="249" t="n">
        <x:f>K64*J64</x:f>
        <x:v>2.0680703999999994</x:v>
      </x:c>
      <x:c r="M64" s="249" t="n">
        <x:f>L64*'机会输入'!I4</x:f>
        <x:v>0.6824632319999998</x:v>
      </x:c>
      <x:c r="N64" s="245"/>
    </x:row>
    <x:row r="65">
      <x:c r="A65" s="240" t="str">
        <x:v>2030E</x:v>
      </x:c>
      <x:c r="B65" s="240" t="str">
        <x:v>FAU关键尺寸量测设备</x:v>
      </x:c>
      <x:c r="C65" s="240" t="str">
        <x:v>204.8T</x:v>
      </x:c>
      <x:c r="D65" s="248" t="n">
        <x:f>'机会输入'!I16*MAX(0,'机会输入'!$B$35)*MAX(0,MIN(1,'规格输入'!I6))</x:f>
        <x:v>96</x:v>
      </x:c>
      <x:c r="E65" s="248" t="n">
        <x:f>'机会输入'!I17/'规格输入'!$E$10</x:f>
        <x:v>0.032</x:v>
      </x:c>
      <x:c r="F65" s="249" t="str">
        <x:v>台设备</x:v>
      </x:c>
      <x:c r="G65" s="242" t="n">
        <x:f>D65*10000*E65</x:f>
        <x:v>30720</x:v>
      </x:c>
      <x:c r="H65" s="249" t="n">
        <x:f>('机会输入'!I30)*MAX(0,'机会输入'!$C$35)</x:f>
        <x:v>68000</x:v>
      </x:c>
      <x:c r="I65" s="249" t="n">
        <x:f>H65</x:f>
        <x:v>68000</x:v>
      </x:c>
      <x:c r="J65" s="250" t="n">
        <x:f>MAX(0,MIN(1,MAX(0,MIN(1,'机会输入'!I31+'规格输入'!$E$8))*MAX(0,'机会输入'!$H$35)))</x:f>
        <x:v>0.5400000000000001</x:v>
      </x:c>
      <x:c r="K65" s="249" t="n">
        <x:f>G65*I65/100000000</x:f>
        <x:v>20.8896</x:v>
      </x:c>
      <x:c r="L65" s="249" t="n">
        <x:f>K65*J65</x:f>
        <x:v>11.280384000000003</x:v>
      </x:c>
      <x:c r="M65" s="249" t="n">
        <x:f>L65*'机会输入'!I4</x:f>
        <x:v>3.722526720000001</x:v>
      </x:c>
      <x:c r="N65" s="245"/>
    </x:row>
    <x:row r="66">
      <x:c r="A66" s="245"/>
      <x:c r="B66" s="245"/>
      <x:c r="C66" s="245"/>
      <x:c r="D66" s="245"/>
      <x:c r="E66" s="245"/>
      <x:c r="F66" s="245"/>
      <x:c r="G66" s="245"/>
      <x:c r="H66" s="245"/>
      <x:c r="I66" s="245"/>
      <x:c r="J66" s="245"/>
      <x:c r="K66" s="245"/>
      <x:c r="L66" s="245"/>
      <x:c r="M66" s="245"/>
      <x:c r="N66" s="245"/>
    </x:row>
    <x:row r="67">
      <x:c r="A67" s="245"/>
      <x:c r="B67" s="245"/>
      <x:c r="C67" s="245"/>
      <x:c r="D67" s="245"/>
      <x:c r="E67" s="245"/>
      <x:c r="F67" s="245"/>
      <x:c r="G67" s="245"/>
      <x:c r="H67" s="245"/>
      <x:c r="I67" s="245"/>
      <x:c r="J67" s="245"/>
      <x:c r="K67" s="245"/>
      <x:c r="L67" s="245"/>
      <x:c r="M67" s="245"/>
      <x:c r="N67" s="245"/>
    </x:row>
    <x:row r="68">
      <x:c r="A68" s="245"/>
      <x:c r="B68" s="245"/>
      <x:c r="C68" s="245"/>
      <x:c r="D68" s="245"/>
      <x:c r="E68" s="245"/>
      <x:c r="F68" s="245"/>
      <x:c r="G68" s="245"/>
      <x:c r="H68" s="245"/>
      <x:c r="I68" s="245"/>
      <x:c r="J68" s="245"/>
      <x:c r="K68" s="245"/>
      <x:c r="L68" s="245"/>
      <x:c r="M68" s="245"/>
      <x:c r="N68" s="245"/>
    </x:row>
    <x:row r="69">
      <x:c r="A69" s="176" t="str">
        <x:v>基准情形</x:v>
      </x:c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245"/>
    </x:row>
    <x:row r="70">
      <x:c r="A70" s="176" t="str">
        <x:v>年度</x:v>
      </x:c>
      <x:c r="B70" s="176" t="str">
        <x:v>产品线</x:v>
      </x:c>
      <x:c r="C70" s="176" t="str">
        <x:v>规格</x:v>
      </x:c>
      <x:c r="D70" s="176" t="str">
        <x:v>出货量（万台/万只）</x:v>
      </x:c>
      <x:c r="E70" s="176" t="str">
        <x:v>单位用量</x:v>
      </x:c>
      <x:c r="F70" s="176" t="str">
        <x:v>基本单位</x:v>
      </x:c>
      <x:c r="G70" s="176" t="str">
        <x:v>组件总量</x:v>
      </x:c>
      <x:c r="H70" s="176" t="str">
        <x:v>初始单价</x:v>
      </x:c>
      <x:c r="I70" s="176" t="str">
        <x:v>有效单价</x:v>
      </x:c>
      <x:c r="J70" s="176" t="str">
        <x:v>公司份额</x:v>
      </x:c>
      <x:c r="K70" s="176" t="str">
        <x:v>行业空间（亿元）</x:v>
      </x:c>
      <x:c r="L70" s="176" t="str">
        <x:v>理论收入（亿元）</x:v>
      </x:c>
      <x:c r="M70" s="176" t="str">
        <x:v>产品净利润（亿元）</x:v>
      </x:c>
      <x:c r="N70" s="245"/>
    </x:row>
    <x:row r="71">
      <x:c r="A71" s="240" t="str">
        <x:v>2026E</x:v>
      </x:c>
      <x:c r="B71" s="240" t="str">
        <x:v>800G可插拔透镜</x:v>
      </x:c>
      <x:c r="C71" s="240" t="str">
        <x:v>800G</x:v>
      </x:c>
      <x:c r="D71" s="248" t="n">
        <x:f>'机会输入'!E7*MAX(0,'机会输入'!$B$36)*1</x:f>
        <x:v>5600</x:v>
      </x:c>
      <x:c r="E71" s="248" t="n">
        <x:f>'机会输入'!E6</x:f>
        <x:v>10</x:v>
      </x:c>
      <x:c r="F71" s="249" t="str">
        <x:v>只透镜</x:v>
      </x:c>
      <x:c r="G71" s="242" t="n">
        <x:f>D71*10000*E71</x:f>
        <x:v>560000000</x:v>
      </x:c>
      <x:c r="H71" s="249" t="n">
        <x:f>('机会输入'!E8)*MAX(0,'机会输入'!$C$36)</x:f>
        <x:v>4</x:v>
      </x:c>
      <x:c r="I71" s="249" t="n">
        <x:f>H71*MAX(0,'机会输入'!E32)</x:f>
        <x:v>4</x:v>
      </x:c>
      <x:c r="J71" s="250" t="n">
        <x:f>MAX(0,MIN(1,MAX(0,MIN(1,'机会输入'!E11))*MAX(0,'机会输入'!$D$36)))</x:f>
        <x:v>0.04</x:v>
      </x:c>
      <x:c r="K71" s="249" t="n">
        <x:f>G71*I71/100000000</x:f>
        <x:v>22.4</x:v>
      </x:c>
      <x:c r="L71" s="249" t="n">
        <x:f>K71*J71</x:f>
        <x:v>0.8959999999999999</x:v>
      </x:c>
      <x:c r="M71" s="249" t="n">
        <x:f>L71*'机会输入'!E4</x:f>
        <x:v>0.29568</x:v>
      </x:c>
      <x:c r="N71" s="245"/>
    </x:row>
    <x:row r="72">
      <x:c r="A72" s="240" t="str">
        <x:v>2026E</x:v>
      </x:c>
      <x:c r="B72" s="240" t="str">
        <x:v>1.6T可插拔透镜</x:v>
      </x:c>
      <x:c r="C72" s="240" t="str">
        <x:v>1.6T</x:v>
      </x:c>
      <x:c r="D72" s="248" t="n">
        <x:f>'机会输入'!E9*MAX(0,'机会输入'!$B$36)*1</x:f>
        <x:v>1880</x:v>
      </x:c>
      <x:c r="E72" s="248" t="n">
        <x:f>'机会输入'!E6</x:f>
        <x:v>10</x:v>
      </x:c>
      <x:c r="F72" s="249" t="str">
        <x:v>只透镜</x:v>
      </x:c>
      <x:c r="G72" s="242" t="n">
        <x:f>D72*10000*E72</x:f>
        <x:v>188000000</x:v>
      </x:c>
      <x:c r="H72" s="249" t="n">
        <x:f>('机会输入'!E10)*MAX(0,'机会输入'!$C$36)</x:f>
        <x:v>5.6</x:v>
      </x:c>
      <x:c r="I72" s="249" t="n">
        <x:f>H72*MAX(0,'机会输入'!E32)</x:f>
        <x:v>5.6</x:v>
      </x:c>
      <x:c r="J72" s="250" t="n">
        <x:f>MAX(0,MIN(1,MAX(0,MIN(1,'机会输入'!E11))*MAX(0,'机会输入'!$D$36)))</x:f>
        <x:v>0.04</x:v>
      </x:c>
      <x:c r="K72" s="249" t="n">
        <x:f>G72*I72/100000000</x:f>
        <x:v>10.527999999999999</x:v>
      </x:c>
      <x:c r="L72" s="249" t="n">
        <x:f>K72*J72</x:f>
        <x:v>0.42111999999999994</x:v>
      </x:c>
      <x:c r="M72" s="249" t="n">
        <x:f>L72*'机会输入'!E4</x:f>
        <x:v>0.1389696</x:v>
      </x:c>
      <x:c r="N72" s="245"/>
    </x:row>
    <x:row r="73">
      <x:c r="A73" s="240" t="str">
        <x:v>2026E</x:v>
      </x:c>
      <x:c r="B73" s="240" t="str">
        <x:v>OCS NxN透镜阵列</x:v>
      </x:c>
      <x:c r="C73" s="240" t="str">
        <x:v>小端口参考系统</x:v>
      </x:c>
      <x:c r="D73" s="248" t="n">
        <x:f>'机会输入'!E12*MAX(0,'机会输入'!$B$36)*(1-MAX(0,MIN(1,'规格输入'!E5)))</x:f>
        <x:v>1.5</x:v>
      </x:c>
      <x:c r="E73" s="248" t="n">
        <x:f>'规格输入'!$E$4</x:f>
        <x:v>256</x:v>
      </x:c>
      <x:c r="F73" s="249" t="str">
        <x:v>总光通道</x:v>
      </x:c>
      <x:c r="G73" s="242" t="n">
        <x:f>D73*10000*E73</x:f>
        <x:v>3840000</x:v>
      </x:c>
      <x:c r="H73" s="249" t="n">
        <x:f>'规格输入'!$M$6</x:f>
        <x:v>20</x:v>
      </x:c>
      <x:c r="I73" s="249" t="n">
        <x:f>H73*MAX(0,'机会输入'!E5)</x:f>
        <x:v>20</x:v>
      </x:c>
      <x:c r="J73" s="250" t="n">
        <x:f>MAX(0,MIN(1,MAX(0,MIN(1,'机会输入'!E15))*MAX(0,'机会输入'!$D$36)))</x:f>
        <x:v>0.9</x:v>
      </x:c>
      <x:c r="K73" s="249" t="n">
        <x:f>G73*I73/100000000</x:f>
        <x:v>0.768</x:v>
      </x:c>
      <x:c r="L73" s="249" t="n">
        <x:f>K73*J73</x:f>
        <x:v>0.6912</x:v>
      </x:c>
      <x:c r="M73" s="249" t="n">
        <x:f>L73*'机会输入'!E4</x:f>
        <x:v>0.22809600000000002</x:v>
      </x:c>
      <x:c r="N73" s="245"/>
    </x:row>
    <x:row r="74">
      <x:c r="A74" s="240" t="str">
        <x:v>2026E</x:v>
      </x:c>
      <x:c r="B74" s="240" t="str">
        <x:v>OCS NxN透镜阵列</x:v>
      </x:c>
      <x:c r="C74" s="240" t="str">
        <x:v>大端口320×320</x:v>
      </x:c>
      <x:c r="D74" s="248" t="n">
        <x:f>'机会输入'!E12*MAX(0,'机会输入'!$B$36)*MAX(0,MIN(1,'规格输入'!E5))</x:f>
        <x:v>0.5</x:v>
      </x:c>
      <x:c r="E74" s="248" t="n">
        <x:f>'机会输入'!E13</x:f>
        <x:v>640</x:v>
      </x:c>
      <x:c r="F74" s="249" t="str">
        <x:v>总光通道</x:v>
      </x:c>
      <x:c r="G74" s="242" t="n">
        <x:f>D74*10000*E74</x:f>
        <x:v>3200000</x:v>
      </x:c>
      <x:c r="H74" s="249" t="n">
        <x:f>'机会输入'!$I$36</x:f>
        <x:v>40</x:v>
      </x:c>
      <x:c r="I74" s="249" t="n">
        <x:f>H74*MAX(0,'机会输入'!E5)</x:f>
        <x:v>40</x:v>
      </x:c>
      <x:c r="J74" s="250" t="n">
        <x:f>MAX(0,MIN(1,MAX(0,MIN(1,'机会输入'!E15+'规格输入'!$E$8))*MAX(0,'机会输入'!$D$36)))</x:f>
        <x:v>0.9500000000000001</x:v>
      </x:c>
      <x:c r="K74" s="249" t="n">
        <x:f>G74*I74/100000000</x:f>
        <x:v>1.28</x:v>
      </x:c>
      <x:c r="L74" s="249" t="n">
        <x:f>K74*J74</x:f>
        <x:v>1.2160000000000002</x:v>
      </x:c>
      <x:c r="M74" s="249" t="n">
        <x:f>L74*'机会输入'!E4</x:f>
        <x:v>0.4012800000000001</x:v>
      </x:c>
      <x:c r="N74" s="245"/>
    </x:row>
    <x:row r="75">
      <x:c r="A75" s="240" t="str">
        <x:v>2026E</x:v>
      </x:c>
      <x:c r="B75" s="240" t="str">
        <x:v>FAU V型槽</x:v>
      </x:c>
      <x:c r="C75" s="240" t="str">
        <x:v>102.4T</x:v>
      </x:c>
      <x:c r="D75" s="248" t="n">
        <x:f>'机会输入'!E16*MAX(0,'机会输入'!$B$36)*(1-MAX(0,MIN(1,'规格输入'!E6)))</x:f>
        <x:v>2</x:v>
      </x:c>
      <x:c r="E75" s="248" t="n">
        <x:f>'机会输入'!E17*'机会输入'!E18</x:f>
        <x:v>1152</x:v>
      </x:c>
      <x:c r="F75" s="249" t="str">
        <x:v>通道</x:v>
      </x:c>
      <x:c r="G75" s="242" t="n">
        <x:f>D75*10000*E75</x:f>
        <x:v>23040000</x:v>
      </x:c>
      <x:c r="H75" s="249" t="n">
        <x:f>('机会输入'!E19)*MAX(0,'机会输入'!$C$36)*'规格输入'!$E$7</x:f>
        <x:v>8.959999999999999</x:v>
      </x:c>
      <x:c r="I75" s="249" t="n">
        <x:f>H75*MAX(0,'机会输入'!E5)</x:f>
        <x:v>8.959999999999999</x:v>
      </x:c>
      <x:c r="J75" s="250" t="n">
        <x:f>MAX(0,MIN(1,MAX(0,MIN(1,'机会输入'!E20))*MAX(0,'机会输入'!$D$36)))</x:f>
        <x:v>0.45</x:v>
      </x:c>
      <x:c r="K75" s="249" t="n">
        <x:f>G75*I75/100000000</x:f>
        <x:v>2.0643839999999996</x:v>
      </x:c>
      <x:c r="L75" s="249" t="n">
        <x:f>K75*J75</x:f>
        <x:v>0.9289727999999998</x:v>
      </x:c>
      <x:c r="M75" s="249" t="n">
        <x:f>L75*'机会输入'!E4</x:f>
        <x:v>0.30656102399999996</x:v>
      </x:c>
      <x:c r="N75" s="245"/>
    </x:row>
    <x:row r="76">
      <x:c r="A76" s="240" t="str">
        <x:v>2026E</x:v>
      </x:c>
      <x:c r="B76" s="240" t="str">
        <x:v>FAU V型槽</x:v>
      </x:c>
      <x:c r="C76" s="240" t="str">
        <x:v>204.8T</x:v>
      </x:c>
      <x:c r="D76" s="248" t="n">
        <x:f>'机会输入'!E16*MAX(0,'机会输入'!$B$36)*MAX(0,MIN(1,'规格输入'!E6))</x:f>
        <x:v>0</x:v>
      </x:c>
      <x:c r="E76" s="248" t="n">
        <x:f>'机会输入'!E17*'规格输入'!$E$9</x:f>
        <x:v>2304</x:v>
      </x:c>
      <x:c r="F76" s="249" t="str">
        <x:v>通道</x:v>
      </x:c>
      <x:c r="G76" s="242" t="n">
        <x:f>D76*10000*E76</x:f>
        <x:v>0</x:v>
      </x:c>
      <x:c r="H76" s="249" t="n">
        <x:f>('机会输入'!E19)*MAX(0,'机会输入'!$C$36)</x:f>
        <x:v>11.2</x:v>
      </x:c>
      <x:c r="I76" s="249" t="n">
        <x:f>H76*MAX(0,'机会输入'!E5)</x:f>
        <x:v>11.2</x:v>
      </x:c>
      <x:c r="J76" s="250" t="n">
        <x:f>MAX(0,MIN(1,MAX(0,MIN(1,'机会输入'!E20+'规格输入'!$E$8))*MAX(0,'机会输入'!$D$36)))</x:f>
        <x:v>0.5</x:v>
      </x:c>
      <x:c r="K76" s="249" t="n">
        <x:f>G76*I76/100000000</x:f>
        <x:v>0</x:v>
      </x:c>
      <x:c r="L76" s="249" t="n">
        <x:f>K76*J76</x:f>
        <x:v>0</x:v>
      </x:c>
      <x:c r="M76" s="249" t="n">
        <x:f>L76*'机会输入'!E4</x:f>
        <x:v>0</x:v>
      </x:c>
      <x:c r="N76" s="245"/>
    </x:row>
    <x:row r="77">
      <x:c r="A77" s="240" t="str">
        <x:v>2026E</x:v>
      </x:c>
      <x:c r="B77" s="240" t="str">
        <x:v>FAU棱镜透镜阵列</x:v>
      </x:c>
      <x:c r="C77" s="240" t="str">
        <x:v>102.4T</x:v>
      </x:c>
      <x:c r="D77" s="248" t="n">
        <x:f>'机会输入'!E16*MAX(0,'机会输入'!$B$36)*(1-MAX(0,MIN(1,'规格输入'!E6)))</x:f>
        <x:v>2</x:v>
      </x:c>
      <x:c r="E77" s="248" t="n">
        <x:f>'机会输入'!E21*'机会输入'!E22</x:f>
        <x:v>1152</x:v>
      </x:c>
      <x:c r="F77" s="249" t="str">
        <x:v>通道</x:v>
      </x:c>
      <x:c r="G77" s="242" t="n">
        <x:f>D77*10000*E77</x:f>
        <x:v>23040000</x:v>
      </x:c>
      <x:c r="H77" s="249" t="n">
        <x:f>('机会输入'!E23)*MAX(0,'机会输入'!$C$36)*'规格输入'!$E$7</x:f>
        <x:v>12.8</x:v>
      </x:c>
      <x:c r="I77" s="249" t="n">
        <x:f>H77*MAX(0,'机会输入'!E5)</x:f>
        <x:v>12.8</x:v>
      </x:c>
      <x:c r="J77" s="250" t="n">
        <x:f>'机会输入'!E24</x:f>
        <x:v>0.45</x:v>
      </x:c>
      <x:c r="K77" s="249" t="n">
        <x:f>G77*I77/100000000</x:f>
        <x:v>2.94912</x:v>
      </x:c>
      <x:c r="L77" s="249" t="n">
        <x:f>K77*J77</x:f>
        <x:v>1.327104</x:v>
      </x:c>
      <x:c r="M77" s="249" t="n">
        <x:f>L77*'机会输入'!E4</x:f>
        <x:v>0.43794432000000005</x:v>
      </x:c>
      <x:c r="N77" s="245"/>
    </x:row>
    <x:row r="78">
      <x:c r="A78" s="240" t="str">
        <x:v>2026E</x:v>
      </x:c>
      <x:c r="B78" s="240" t="str">
        <x:v>FAU棱镜透镜阵列</x:v>
      </x:c>
      <x:c r="C78" s="240" t="str">
        <x:v>204.8T</x:v>
      </x:c>
      <x:c r="D78" s="248" t="n">
        <x:f>'机会输入'!E16*MAX(0,'机会输入'!$B$36)*MAX(0,MIN(1,'规格输入'!E6))</x:f>
        <x:v>0</x:v>
      </x:c>
      <x:c r="E78" s="248" t="n">
        <x:f>'机会输入'!E21*'规格输入'!$E$9</x:f>
        <x:v>2304</x:v>
      </x:c>
      <x:c r="F78" s="249" t="str">
        <x:v>通道</x:v>
      </x:c>
      <x:c r="G78" s="242" t="n">
        <x:f>D78*10000*E78</x:f>
        <x:v>0</x:v>
      </x:c>
      <x:c r="H78" s="249" t="n">
        <x:f>('机会输入'!E23)*MAX(0,'机会输入'!$C$36)</x:f>
        <x:v>16</x:v>
      </x:c>
      <x:c r="I78" s="249" t="n">
        <x:f>H78*MAX(0,'机会输入'!E5)</x:f>
        <x:v>16</x:v>
      </x:c>
      <x:c r="J78" s="250" t="n">
        <x:f>'机会输入'!E24</x:f>
        <x:v>0.45</x:v>
      </x:c>
      <x:c r="K78" s="249" t="n">
        <x:f>G78*I78/100000000</x:f>
        <x:v>0</x:v>
      </x:c>
      <x:c r="L78" s="249" t="n">
        <x:f>K78*J78</x:f>
        <x:v>0</x:v>
      </x:c>
      <x:c r="M78" s="249" t="n">
        <x:f>L78*'机会输入'!E4</x:f>
        <x:v>0</x:v>
      </x:c>
      <x:c r="N78" s="245"/>
    </x:row>
    <x:row r="79">
      <x:c r="A79" s="240" t="str">
        <x:v>2026E</x:v>
      </x:c>
      <x:c r="B79" s="240" t="str">
        <x:v>ELS透镜＋热沉</x:v>
      </x:c>
      <x:c r="C79" s="240" t="str">
        <x:v>102.4T</x:v>
      </x:c>
      <x:c r="D79" s="248" t="n">
        <x:f>'机会输入'!E16*MAX(0,'机会输入'!$B$36)*(1-MAX(0,MIN(1,'规格输入'!E6)))</x:f>
        <x:v>2</x:v>
      </x:c>
      <x:c r="E79" s="248" t="n">
        <x:f>'机会输入'!E25</x:f>
        <x:v>128</x:v>
      </x:c>
      <x:c r="F79" s="249" t="str">
        <x:v>套光源配套</x:v>
      </x:c>
      <x:c r="G79" s="242" t="n">
        <x:f>D79*10000*E79</x:f>
        <x:v>2560000</x:v>
      </x:c>
      <x:c r="H79" s="249" t="n">
        <x:f>('机会输入'!E26+'机会输入'!E27)*MAX(0,'机会输入'!$C$36)*'规格输入'!$E$7</x:f>
        <x:v>64</x:v>
      </x:c>
      <x:c r="I79" s="249" t="n">
        <x:f>H79*MAX(0,'机会输入'!E5)</x:f>
        <x:v>64</x:v>
      </x:c>
      <x:c r="J79" s="250" t="n">
        <x:f>MAX(0,MIN(1,MAX(0,MIN(1,'机会输入'!E28))*MAX(0,'机会输入'!$D$36)))</x:f>
        <x:v>0.45</x:v>
      </x:c>
      <x:c r="K79" s="249" t="n">
        <x:f>G79*I79/100000000</x:f>
        <x:v>1.6384</x:v>
      </x:c>
      <x:c r="L79" s="249" t="n">
        <x:f>K79*J79</x:f>
        <x:v>0.73728</x:v>
      </x:c>
      <x:c r="M79" s="249" t="n">
        <x:f>L79*'机会输入'!E4</x:f>
        <x:v>0.24330240000000003</x:v>
      </x:c>
      <x:c r="N79" s="245"/>
    </x:row>
    <x:row r="80">
      <x:c r="A80" s="240" t="str">
        <x:v>2026E</x:v>
      </x:c>
      <x:c r="B80" s="240" t="str">
        <x:v>ELS透镜＋热沉</x:v>
      </x:c>
      <x:c r="C80" s="240" t="str">
        <x:v>204.8T</x:v>
      </x:c>
      <x:c r="D80" s="248" t="n">
        <x:f>'机会输入'!E16*MAX(0,'机会输入'!$B$36)*MAX(0,MIN(1,'规格输入'!E6))</x:f>
        <x:v>0</x:v>
      </x:c>
      <x:c r="E80" s="248" t="n">
        <x:f>'机会输入'!E25</x:f>
        <x:v>128</x:v>
      </x:c>
      <x:c r="F80" s="249" t="str">
        <x:v>套光源配套</x:v>
      </x:c>
      <x:c r="G80" s="242" t="n">
        <x:f>D80*10000*E80</x:f>
        <x:v>0</x:v>
      </x:c>
      <x:c r="H80" s="249" t="n">
        <x:f>('机会输入'!E26+'机会输入'!E27)*MAX(0,'机会输入'!$C$36)</x:f>
        <x:v>80</x:v>
      </x:c>
      <x:c r="I80" s="249" t="n">
        <x:f>H80*MAX(0,'机会输入'!E5)</x:f>
        <x:v>80</x:v>
      </x:c>
      <x:c r="J80" s="250" t="n">
        <x:f>MAX(0,MIN(1,MAX(0,MIN(1,'机会输入'!E28+'规格输入'!$E$8))*MAX(0,'机会输入'!$D$36)))</x:f>
        <x:v>0.5</x:v>
      </x:c>
      <x:c r="K80" s="249" t="n">
        <x:f>G80*I80/100000000</x:f>
        <x:v>0</x:v>
      </x:c>
      <x:c r="L80" s="249" t="n">
        <x:f>K80*J80</x:f>
        <x:v>0</x:v>
      </x:c>
      <x:c r="M80" s="249" t="n">
        <x:f>L80*'机会输入'!E4</x:f>
        <x:v>0</x:v>
      </x:c>
      <x:c r="N80" s="245"/>
    </x:row>
    <x:row r="81">
      <x:c r="A81" s="240" t="str">
        <x:v>2026E</x:v>
      </x:c>
      <x:c r="B81" s="240" t="str">
        <x:v>FAU关键尺寸量测设备</x:v>
      </x:c>
      <x:c r="C81" s="240" t="str">
        <x:v>102.4T</x:v>
      </x:c>
      <x:c r="D81" s="248" t="n">
        <x:f>'机会输入'!E16*MAX(0,'机会输入'!$B$36)*(1-MAX(0,MIN(1,'规格输入'!E6)))</x:f>
        <x:v>2</x:v>
      </x:c>
      <x:c r="E81" s="248" t="n">
        <x:f>'机会输入'!E17/'规格输入'!$E$10</x:f>
        <x:v>0.032</x:v>
      </x:c>
      <x:c r="F81" s="249" t="str">
        <x:v>台设备</x:v>
      </x:c>
      <x:c r="G81" s="242" t="n">
        <x:f>D81*10000*E81</x:f>
        <x:v>640</x:v>
      </x:c>
      <x:c r="H81" s="249" t="n">
        <x:f>('机会输入'!E30)*MAX(0,'机会输入'!$C$36)*'规格输入'!$E$7</x:f>
        <x:v>64000</x:v>
      </x:c>
      <x:c r="I81" s="249" t="n">
        <x:f>H81</x:f>
        <x:v>64000</x:v>
      </x:c>
      <x:c r="J81" s="250" t="n">
        <x:f>MAX(0,MIN(1,MAX(0,MIN(1,'机会输入'!E31))*MAX(0,'机会输入'!$D$36)))</x:f>
        <x:v>0.1</x:v>
      </x:c>
      <x:c r="K81" s="249" t="n">
        <x:f>G81*I81/100000000</x:f>
        <x:v>0.4096</x:v>
      </x:c>
      <x:c r="L81" s="249" t="n">
        <x:f>K81*J81</x:f>
        <x:v>0.04096</x:v>
      </x:c>
      <x:c r="M81" s="249" t="n">
        <x:f>L81*'机会输入'!E4</x:f>
        <x:v>0.013516800000000002</x:v>
      </x:c>
      <x:c r="N81" s="245"/>
    </x:row>
    <x:row r="82">
      <x:c r="A82" s="240" t="str">
        <x:v>2026E</x:v>
      </x:c>
      <x:c r="B82" s="240" t="str">
        <x:v>FAU关键尺寸量测设备</x:v>
      </x:c>
      <x:c r="C82" s="240" t="str">
        <x:v>204.8T</x:v>
      </x:c>
      <x:c r="D82" s="248" t="n">
        <x:f>'机会输入'!E16*MAX(0,'机会输入'!$B$36)*MAX(0,MIN(1,'规格输入'!E6))</x:f>
        <x:v>0</x:v>
      </x:c>
      <x:c r="E82" s="248" t="n">
        <x:f>'机会输入'!E17/'规格输入'!$E$10</x:f>
        <x:v>0.032</x:v>
      </x:c>
      <x:c r="F82" s="249" t="str">
        <x:v>台设备</x:v>
      </x:c>
      <x:c r="G82" s="242" t="n">
        <x:f>D82*10000*E82</x:f>
        <x:v>0</x:v>
      </x:c>
      <x:c r="H82" s="249" t="n">
        <x:f>('机会输入'!E30)*MAX(0,'机会输入'!$C$36)</x:f>
        <x:v>80000</x:v>
      </x:c>
      <x:c r="I82" s="249" t="n">
        <x:f>H82</x:f>
        <x:v>80000</x:v>
      </x:c>
      <x:c r="J82" s="250" t="n">
        <x:f>MAX(0,MIN(1,MAX(0,MIN(1,'机会输入'!E31+'规格输入'!$E$8))*MAX(0,'机会输入'!$D$36)))</x:f>
        <x:v>0.15000000000000002</x:v>
      </x:c>
      <x:c r="K82" s="249" t="n">
        <x:f>G82*I82/100000000</x:f>
        <x:v>0</x:v>
      </x:c>
      <x:c r="L82" s="249" t="n">
        <x:f>K82*J82</x:f>
        <x:v>0</x:v>
      </x:c>
      <x:c r="M82" s="249" t="n">
        <x:f>L82*'机会输入'!E4</x:f>
        <x:v>0</x:v>
      </x:c>
      <x:c r="N82" s="245"/>
    </x:row>
    <x:row r="83">
      <x:c r="A83" s="240" t="str">
        <x:v>2027E</x:v>
      </x:c>
      <x:c r="B83" s="240" t="str">
        <x:v>800G可插拔透镜</x:v>
      </x:c>
      <x:c r="C83" s="240" t="str">
        <x:v>800G</x:v>
      </x:c>
      <x:c r="D83" s="248" t="n">
        <x:f>'机会输入'!F7*MAX(0,'机会输入'!$B$36)*1</x:f>
        <x:v>7250</x:v>
      </x:c>
      <x:c r="E83" s="248" t="n">
        <x:f>'机会输入'!F6</x:f>
        <x:v>10</x:v>
      </x:c>
      <x:c r="F83" s="249" t="str">
        <x:v>只透镜</x:v>
      </x:c>
      <x:c r="G83" s="242" t="n">
        <x:f>D83*10000*E83</x:f>
        <x:v>725000000</x:v>
      </x:c>
      <x:c r="H83" s="249" t="n">
        <x:f>('机会输入'!F8)*MAX(0,'机会输入'!$C$36)</x:f>
        <x:v>4</x:v>
      </x:c>
      <x:c r="I83" s="249" t="n">
        <x:f>H83*MAX(0,'机会输入'!F32)</x:f>
        <x:v>3.6</x:v>
      </x:c>
      <x:c r="J83" s="250" t="n">
        <x:f>MAX(0,MIN(1,MAX(0,MIN(1,'机会输入'!F11))*MAX(0,'机会输入'!$E$36)))</x:f>
        <x:v>0.09</x:v>
      </x:c>
      <x:c r="K83" s="249" t="n">
        <x:f>G83*I83/100000000</x:f>
        <x:v>26.1</x:v>
      </x:c>
      <x:c r="L83" s="249" t="n">
        <x:f>K83*J83</x:f>
        <x:v>2.349</x:v>
      </x:c>
      <x:c r="M83" s="249" t="n">
        <x:f>L83*'机会输入'!F4</x:f>
        <x:v>0.7751700000000001</x:v>
      </x:c>
      <x:c r="N83" s="245"/>
    </x:row>
    <x:row r="84">
      <x:c r="A84" s="240" t="str">
        <x:v>2027E</x:v>
      </x:c>
      <x:c r="B84" s="240" t="str">
        <x:v>1.6T可插拔透镜</x:v>
      </x:c>
      <x:c r="C84" s="240" t="str">
        <x:v>1.6T</x:v>
      </x:c>
      <x:c r="D84" s="248" t="n">
        <x:f>'机会输入'!F9*MAX(0,'机会输入'!$B$36)*1</x:f>
        <x:v>6400</x:v>
      </x:c>
      <x:c r="E84" s="248" t="n">
        <x:f>'机会输入'!F6</x:f>
        <x:v>10</x:v>
      </x:c>
      <x:c r="F84" s="249" t="str">
        <x:v>只透镜</x:v>
      </x:c>
      <x:c r="G84" s="242" t="n">
        <x:f>D84*10000*E84</x:f>
        <x:v>640000000</x:v>
      </x:c>
      <x:c r="H84" s="249" t="n">
        <x:f>('机会输入'!F10)*MAX(0,'机会输入'!$C$36)</x:f>
        <x:v>5.6</x:v>
      </x:c>
      <x:c r="I84" s="249" t="n">
        <x:f>H84*MAX(0,'机会输入'!F32)</x:f>
        <x:v>5.04</x:v>
      </x:c>
      <x:c r="J84" s="250" t="n">
        <x:f>MAX(0,MIN(1,MAX(0,MIN(1,'机会输入'!F11))*MAX(0,'机会输入'!$E$36)))</x:f>
        <x:v>0.09</x:v>
      </x:c>
      <x:c r="K84" s="249" t="n">
        <x:f>G84*I84/100000000</x:f>
        <x:v>32.256</x:v>
      </x:c>
      <x:c r="L84" s="249" t="n">
        <x:f>K84*J84</x:f>
        <x:v>2.90304</x:v>
      </x:c>
      <x:c r="M84" s="249" t="n">
        <x:f>L84*'机会输入'!F4</x:f>
        <x:v>0.9580031999999999</x:v>
      </x:c>
      <x:c r="N84" s="245"/>
    </x:row>
    <x:row r="85">
      <x:c r="A85" s="240" t="str">
        <x:v>2027E</x:v>
      </x:c>
      <x:c r="B85" s="240" t="str">
        <x:v>OCS NxN透镜阵列</x:v>
      </x:c>
      <x:c r="C85" s="240" t="str">
        <x:v>小端口参考系统</x:v>
      </x:c>
      <x:c r="D85" s="248" t="n">
        <x:f>'机会输入'!F12*MAX(0,'机会输入'!$B$36)*(1-MAX(0,MIN(1,'规格输入'!F5)))</x:f>
        <x:v>6</x:v>
      </x:c>
      <x:c r="E85" s="248" t="n">
        <x:f>'规格输入'!$E$4</x:f>
        <x:v>256</x:v>
      </x:c>
      <x:c r="F85" s="249" t="str">
        <x:v>总光通道</x:v>
      </x:c>
      <x:c r="G85" s="242" t="n">
        <x:f>D85*10000*E85</x:f>
        <x:v>15360000</x:v>
      </x:c>
      <x:c r="H85" s="249" t="n">
        <x:f>'规格输入'!$M$6</x:f>
        <x:v>20</x:v>
      </x:c>
      <x:c r="I85" s="249" t="n">
        <x:f>H85*MAX(0,'机会输入'!F5)</x:f>
        <x:v>16</x:v>
      </x:c>
      <x:c r="J85" s="250" t="n">
        <x:f>MAX(0,MIN(1,MAX(0,MIN(1,'机会输入'!F15))*MAX(0,'机会输入'!$E$36)))</x:f>
        <x:v>0.9</x:v>
      </x:c>
      <x:c r="K85" s="249" t="n">
        <x:f>G85*I85/100000000</x:f>
        <x:v>2.4576</x:v>
      </x:c>
      <x:c r="L85" s="249" t="n">
        <x:f>K85*J85</x:f>
        <x:v>2.21184</x:v>
      </x:c>
      <x:c r="M85" s="249" t="n">
        <x:f>L85*'机会输入'!F4</x:f>
        <x:v>0.7299072000000001</x:v>
      </x:c>
      <x:c r="N85" s="245"/>
    </x:row>
    <x:row r="86">
      <x:c r="A86" s="240" t="str">
        <x:v>2027E</x:v>
      </x:c>
      <x:c r="B86" s="240" t="str">
        <x:v>OCS NxN透镜阵列</x:v>
      </x:c>
      <x:c r="C86" s="240" t="str">
        <x:v>大端口320×320</x:v>
      </x:c>
      <x:c r="D86" s="248" t="n">
        <x:f>'机会输入'!F12*MAX(0,'机会输入'!$B$36)*MAX(0,MIN(1,'规格输入'!F5))</x:f>
        <x:v>4</x:v>
      </x:c>
      <x:c r="E86" s="248" t="n">
        <x:f>'机会输入'!F13</x:f>
        <x:v>640</x:v>
      </x:c>
      <x:c r="F86" s="249" t="str">
        <x:v>总光通道</x:v>
      </x:c>
      <x:c r="G86" s="242" t="n">
        <x:f>D86*10000*E86</x:f>
        <x:v>25600000</x:v>
      </x:c>
      <x:c r="H86" s="249" t="n">
        <x:f>'机会输入'!$I$36</x:f>
        <x:v>40</x:v>
      </x:c>
      <x:c r="I86" s="249" t="n">
        <x:f>H86*MAX(0,'机会输入'!F5)</x:f>
        <x:v>32</x:v>
      </x:c>
      <x:c r="J86" s="250" t="n">
        <x:f>MAX(0,MIN(1,MAX(0,MIN(1,'机会输入'!F15+'规格输入'!$E$8))*MAX(0,'机会输入'!$E$36)))</x:f>
        <x:v>0.9500000000000001</x:v>
      </x:c>
      <x:c r="K86" s="249" t="n">
        <x:f>G86*I86/100000000</x:f>
        <x:v>8.192</x:v>
      </x:c>
      <x:c r="L86" s="249" t="n">
        <x:f>K86*J86</x:f>
        <x:v>7.782400000000001</x:v>
      </x:c>
      <x:c r="M86" s="249" t="n">
        <x:f>L86*'机会输入'!F4</x:f>
        <x:v>2.5681920000000003</x:v>
      </x:c>
      <x:c r="N86" s="245"/>
    </x:row>
    <x:row r="87">
      <x:c r="A87" s="240" t="str">
        <x:v>2027E</x:v>
      </x:c>
      <x:c r="B87" s="240" t="str">
        <x:v>FAU V型槽</x:v>
      </x:c>
      <x:c r="C87" s="240" t="str">
        <x:v>102.4T</x:v>
      </x:c>
      <x:c r="D87" s="248" t="n">
        <x:f>'机会输入'!F16*MAX(0,'机会输入'!$B$36)*(1-MAX(0,MIN(1,'规格输入'!F6)))</x:f>
        <x:v>20</x:v>
      </x:c>
      <x:c r="E87" s="248" t="n">
        <x:f>'机会输入'!F17*'机会输入'!F18</x:f>
        <x:v>1152</x:v>
      </x:c>
      <x:c r="F87" s="249" t="str">
        <x:v>通道</x:v>
      </x:c>
      <x:c r="G87" s="242" t="n">
        <x:f>D87*10000*E87</x:f>
        <x:v>230400000</x:v>
      </x:c>
      <x:c r="H87" s="249" t="n">
        <x:f>('机会输入'!F19)*MAX(0,'机会输入'!$C$36)*'规格输入'!$E$7</x:f>
        <x:v>8.959999999999999</x:v>
      </x:c>
      <x:c r="I87" s="249" t="n">
        <x:f>H87*MAX(0,'机会输入'!F5)</x:f>
        <x:v>7.167999999999999</x:v>
      </x:c>
      <x:c r="J87" s="250" t="n">
        <x:f>MAX(0,MIN(1,MAX(0,MIN(1,'机会输入'!F20))*MAX(0,'机会输入'!$E$36)))</x:f>
        <x:v>0.5</x:v>
      </x:c>
      <x:c r="K87" s="249" t="n">
        <x:f>G87*I87/100000000</x:f>
        <x:v>16.515071999999996</x:v>
      </x:c>
      <x:c r="L87" s="249" t="n">
        <x:f>K87*J87</x:f>
        <x:v>8.257535999999998</x:v>
      </x:c>
      <x:c r="M87" s="249" t="n">
        <x:f>L87*'机会输入'!F4</x:f>
        <x:v>2.7249868799999994</x:v>
      </x:c>
      <x:c r="N87" s="245"/>
    </x:row>
    <x:row r="88">
      <x:c r="A88" s="240" t="str">
        <x:v>2027E</x:v>
      </x:c>
      <x:c r="B88" s="240" t="str">
        <x:v>FAU V型槽</x:v>
      </x:c>
      <x:c r="C88" s="240" t="str">
        <x:v>204.8T</x:v>
      </x:c>
      <x:c r="D88" s="248" t="n">
        <x:f>'机会输入'!F16*MAX(0,'机会输入'!$B$36)*MAX(0,MIN(1,'规格输入'!F6))</x:f>
        <x:v>0</x:v>
      </x:c>
      <x:c r="E88" s="248" t="n">
        <x:f>'机会输入'!F17*'规格输入'!$E$9</x:f>
        <x:v>2304</x:v>
      </x:c>
      <x:c r="F88" s="249" t="str">
        <x:v>通道</x:v>
      </x:c>
      <x:c r="G88" s="242" t="n">
        <x:f>D88*10000*E88</x:f>
        <x:v>0</x:v>
      </x:c>
      <x:c r="H88" s="249" t="n">
        <x:f>('机会输入'!F19)*MAX(0,'机会输入'!$C$36)</x:f>
        <x:v>11.2</x:v>
      </x:c>
      <x:c r="I88" s="249" t="n">
        <x:f>H88*MAX(0,'机会输入'!F5)</x:f>
        <x:v>8.959999999999999</x:v>
      </x:c>
      <x:c r="J88" s="250" t="n">
        <x:f>MAX(0,MIN(1,MAX(0,MIN(1,'机会输入'!F20+'规格输入'!$E$8))*MAX(0,'机会输入'!$E$36)))</x:f>
        <x:v>0.55</x:v>
      </x:c>
      <x:c r="K88" s="249" t="n">
        <x:f>G88*I88/100000000</x:f>
        <x:v>0</x:v>
      </x:c>
      <x:c r="L88" s="249" t="n">
        <x:f>K88*J88</x:f>
        <x:v>0</x:v>
      </x:c>
      <x:c r="M88" s="249" t="n">
        <x:f>L88*'机会输入'!F4</x:f>
        <x:v>0</x:v>
      </x:c>
      <x:c r="N88" s="245"/>
    </x:row>
    <x:row r="89">
      <x:c r="A89" s="240" t="str">
        <x:v>2027E</x:v>
      </x:c>
      <x:c r="B89" s="240" t="str">
        <x:v>FAU棱镜透镜阵列</x:v>
      </x:c>
      <x:c r="C89" s="240" t="str">
        <x:v>102.4T</x:v>
      </x:c>
      <x:c r="D89" s="248" t="n">
        <x:f>'机会输入'!F16*MAX(0,'机会输入'!$B$36)*(1-MAX(0,MIN(1,'规格输入'!F6)))</x:f>
        <x:v>20</x:v>
      </x:c>
      <x:c r="E89" s="248" t="n">
        <x:f>'机会输入'!F21*'机会输入'!F22</x:f>
        <x:v>1152</x:v>
      </x:c>
      <x:c r="F89" s="249" t="str">
        <x:v>通道</x:v>
      </x:c>
      <x:c r="G89" s="242" t="n">
        <x:f>D89*10000*E89</x:f>
        <x:v>230400000</x:v>
      </x:c>
      <x:c r="H89" s="249" t="n">
        <x:f>('机会输入'!F23)*MAX(0,'机会输入'!$C$36)*'规格输入'!$E$7</x:f>
        <x:v>12.8</x:v>
      </x:c>
      <x:c r="I89" s="249" t="n">
        <x:f>H89*MAX(0,'机会输入'!F5)</x:f>
        <x:v>10.240000000000002</x:v>
      </x:c>
      <x:c r="J89" s="250" t="n">
        <x:f>'机会输入'!F24</x:f>
        <x:v>0.45</x:v>
      </x:c>
      <x:c r="K89" s="249" t="n">
        <x:f>G89*I89/100000000</x:f>
        <x:v>23.592960000000005</x:v>
      </x:c>
      <x:c r="L89" s="249" t="n">
        <x:f>K89*J89</x:f>
        <x:v>10.616832000000002</x:v>
      </x:c>
      <x:c r="M89" s="249" t="n">
        <x:f>L89*'机会输入'!F4</x:f>
        <x:v>3.503554560000001</x:v>
      </x:c>
      <x:c r="N89" s="245"/>
    </x:row>
    <x:row r="90">
      <x:c r="A90" s="240" t="str">
        <x:v>2027E</x:v>
      </x:c>
      <x:c r="B90" s="240" t="str">
        <x:v>FAU棱镜透镜阵列</x:v>
      </x:c>
      <x:c r="C90" s="240" t="str">
        <x:v>204.8T</x:v>
      </x:c>
      <x:c r="D90" s="248" t="n">
        <x:f>'机会输入'!F16*MAX(0,'机会输入'!$B$36)*MAX(0,MIN(1,'规格输入'!F6))</x:f>
        <x:v>0</x:v>
      </x:c>
      <x:c r="E90" s="248" t="n">
        <x:f>'机会输入'!F21*'规格输入'!$E$9</x:f>
        <x:v>2304</x:v>
      </x:c>
      <x:c r="F90" s="249" t="str">
        <x:v>通道</x:v>
      </x:c>
      <x:c r="G90" s="242" t="n">
        <x:f>D90*10000*E90</x:f>
        <x:v>0</x:v>
      </x:c>
      <x:c r="H90" s="249" t="n">
        <x:f>('机会输入'!F23)*MAX(0,'机会输入'!$C$36)</x:f>
        <x:v>16</x:v>
      </x:c>
      <x:c r="I90" s="249" t="n">
        <x:f>H90*MAX(0,'机会输入'!F5)</x:f>
        <x:v>12.8</x:v>
      </x:c>
      <x:c r="J90" s="250" t="n">
        <x:f>'机会输入'!F24</x:f>
        <x:v>0.45</x:v>
      </x:c>
      <x:c r="K90" s="249" t="n">
        <x:f>G90*I90/100000000</x:f>
        <x:v>0</x:v>
      </x:c>
      <x:c r="L90" s="249" t="n">
        <x:f>K90*J90</x:f>
        <x:v>0</x:v>
      </x:c>
      <x:c r="M90" s="249" t="n">
        <x:f>L90*'机会输入'!F4</x:f>
        <x:v>0</x:v>
      </x:c>
      <x:c r="N90" s="245"/>
    </x:row>
    <x:row r="91">
      <x:c r="A91" s="240" t="str">
        <x:v>2027E</x:v>
      </x:c>
      <x:c r="B91" s="240" t="str">
        <x:v>ELS透镜＋热沉</x:v>
      </x:c>
      <x:c r="C91" s="240" t="str">
        <x:v>102.4T</x:v>
      </x:c>
      <x:c r="D91" s="248" t="n">
        <x:f>'机会输入'!F16*MAX(0,'机会输入'!$B$36)*(1-MAX(0,MIN(1,'规格输入'!F6)))</x:f>
        <x:v>20</x:v>
      </x:c>
      <x:c r="E91" s="248" t="n">
        <x:f>'机会输入'!F25</x:f>
        <x:v>128</x:v>
      </x:c>
      <x:c r="F91" s="249" t="str">
        <x:v>套光源配套</x:v>
      </x:c>
      <x:c r="G91" s="242" t="n">
        <x:f>D91*10000*E91</x:f>
        <x:v>25600000</x:v>
      </x:c>
      <x:c r="H91" s="249" t="n">
        <x:f>('机会输入'!F26+'机会输入'!F27)*MAX(0,'机会输入'!$C$36)*'规格输入'!$E$7</x:f>
        <x:v>64</x:v>
      </x:c>
      <x:c r="I91" s="249" t="n">
        <x:f>H91*MAX(0,'机会输入'!F5)</x:f>
        <x:v>51.2</x:v>
      </x:c>
      <x:c r="J91" s="250" t="n">
        <x:f>MAX(0,MIN(1,MAX(0,MIN(1,'机会输入'!F28))*MAX(0,'机会输入'!$E$36)))</x:f>
        <x:v>0.45</x:v>
      </x:c>
      <x:c r="K91" s="249" t="n">
        <x:f>G91*I91/100000000</x:f>
        <x:v>13.1072</x:v>
      </x:c>
      <x:c r="L91" s="249" t="n">
        <x:f>K91*J91</x:f>
        <x:v>5.89824</x:v>
      </x:c>
      <x:c r="M91" s="249" t="n">
        <x:f>L91*'机会输入'!F4</x:f>
        <x:v>1.9464192000000002</x:v>
      </x:c>
      <x:c r="N91" s="245"/>
    </x:row>
    <x:row r="92">
      <x:c r="A92" s="240" t="str">
        <x:v>2027E</x:v>
      </x:c>
      <x:c r="B92" s="240" t="str">
        <x:v>ELS透镜＋热沉</x:v>
      </x:c>
      <x:c r="C92" s="240" t="str">
        <x:v>204.8T</x:v>
      </x:c>
      <x:c r="D92" s="248" t="n">
        <x:f>'机会输入'!F16*MAX(0,'机会输入'!$B$36)*MAX(0,MIN(1,'规格输入'!F6))</x:f>
        <x:v>0</x:v>
      </x:c>
      <x:c r="E92" s="248" t="n">
        <x:f>'机会输入'!F25</x:f>
        <x:v>128</x:v>
      </x:c>
      <x:c r="F92" s="249" t="str">
        <x:v>套光源配套</x:v>
      </x:c>
      <x:c r="G92" s="242" t="n">
        <x:f>D92*10000*E92</x:f>
        <x:v>0</x:v>
      </x:c>
      <x:c r="H92" s="249" t="n">
        <x:f>('机会输入'!F26+'机会输入'!F27)*MAX(0,'机会输入'!$C$36)</x:f>
        <x:v>80</x:v>
      </x:c>
      <x:c r="I92" s="249" t="n">
        <x:f>H92*MAX(0,'机会输入'!F5)</x:f>
        <x:v>64</x:v>
      </x:c>
      <x:c r="J92" s="250" t="n">
        <x:f>MAX(0,MIN(1,MAX(0,MIN(1,'机会输入'!F28+'规格输入'!$E$8))*MAX(0,'机会输入'!$E$36)))</x:f>
        <x:v>0.5</x:v>
      </x:c>
      <x:c r="K92" s="249" t="n">
        <x:f>G92*I92/100000000</x:f>
        <x:v>0</x:v>
      </x:c>
      <x:c r="L92" s="249" t="n">
        <x:f>K92*J92</x:f>
        <x:v>0</x:v>
      </x:c>
      <x:c r="M92" s="249" t="n">
        <x:f>L92*'机会输入'!F4</x:f>
        <x:v>0</x:v>
      </x:c>
      <x:c r="N92" s="245"/>
    </x:row>
    <x:row r="93">
      <x:c r="A93" s="240" t="str">
        <x:v>2027E</x:v>
      </x:c>
      <x:c r="B93" s="240" t="str">
        <x:v>FAU关键尺寸量测设备</x:v>
      </x:c>
      <x:c r="C93" s="240" t="str">
        <x:v>102.4T</x:v>
      </x:c>
      <x:c r="D93" s="248" t="n">
        <x:f>'机会输入'!F16*MAX(0,'机会输入'!$B$36)*(1-MAX(0,MIN(1,'规格输入'!F6)))</x:f>
        <x:v>20</x:v>
      </x:c>
      <x:c r="E93" s="248" t="n">
        <x:f>'机会输入'!F17/'规格输入'!$E$10</x:f>
        <x:v>0.032</x:v>
      </x:c>
      <x:c r="F93" s="249" t="str">
        <x:v>台设备</x:v>
      </x:c>
      <x:c r="G93" s="242" t="n">
        <x:f>D93*10000*E93</x:f>
        <x:v>6400</x:v>
      </x:c>
      <x:c r="H93" s="249" t="n">
        <x:f>('机会输入'!F30)*MAX(0,'机会输入'!$C$36)*'规格输入'!$E$7</x:f>
        <x:v>64000</x:v>
      </x:c>
      <x:c r="I93" s="249" t="n">
        <x:f>H93</x:f>
        <x:v>64000</x:v>
      </x:c>
      <x:c r="J93" s="250" t="n">
        <x:f>MAX(0,MIN(1,MAX(0,MIN(1,'机会输入'!F31))*MAX(0,'机会输入'!$E$36)))</x:f>
        <x:v>0.3</x:v>
      </x:c>
      <x:c r="K93" s="249" t="n">
        <x:f>G93*I93/100000000</x:f>
        <x:v>4.096</x:v>
      </x:c>
      <x:c r="L93" s="249" t="n">
        <x:f>K93*J93</x:f>
        <x:v>1.2288</x:v>
      </x:c>
      <x:c r="M93" s="249" t="n">
        <x:f>L93*'机会输入'!F4</x:f>
        <x:v>0.405504</x:v>
      </x:c>
      <x:c r="N93" s="245"/>
    </x:row>
    <x:row r="94">
      <x:c r="A94" s="240" t="str">
        <x:v>2027E</x:v>
      </x:c>
      <x:c r="B94" s="240" t="str">
        <x:v>FAU关键尺寸量测设备</x:v>
      </x:c>
      <x:c r="C94" s="240" t="str">
        <x:v>204.8T</x:v>
      </x:c>
      <x:c r="D94" s="248" t="n">
        <x:f>'机会输入'!F16*MAX(0,'机会输入'!$B$36)*MAX(0,MIN(1,'规格输入'!F6))</x:f>
        <x:v>0</x:v>
      </x:c>
      <x:c r="E94" s="248" t="n">
        <x:f>'机会输入'!F17/'规格输入'!$E$10</x:f>
        <x:v>0.032</x:v>
      </x:c>
      <x:c r="F94" s="249" t="str">
        <x:v>台设备</x:v>
      </x:c>
      <x:c r="G94" s="242" t="n">
        <x:f>D94*10000*E94</x:f>
        <x:v>0</x:v>
      </x:c>
      <x:c r="H94" s="249" t="n">
        <x:f>('机会输入'!F30)*MAX(0,'机会输入'!$C$36)</x:f>
        <x:v>80000</x:v>
      </x:c>
      <x:c r="I94" s="249" t="n">
        <x:f>H94</x:f>
        <x:v>80000</x:v>
      </x:c>
      <x:c r="J94" s="250" t="n">
        <x:f>MAX(0,MIN(1,MAX(0,MIN(1,'机会输入'!F31+'规格输入'!$E$8))*MAX(0,'机会输入'!$E$36)))</x:f>
        <x:v>0.35</x:v>
      </x:c>
      <x:c r="K94" s="249" t="n">
        <x:f>G94*I94/100000000</x:f>
        <x:v>0</x:v>
      </x:c>
      <x:c r="L94" s="249" t="n">
        <x:f>K94*J94</x:f>
        <x:v>0</x:v>
      </x:c>
      <x:c r="M94" s="249" t="n">
        <x:f>L94*'机会输入'!F4</x:f>
        <x:v>0</x:v>
      </x:c>
      <x:c r="N94" s="245"/>
    </x:row>
    <x:row r="95">
      <x:c r="A95" s="240" t="str">
        <x:v>2028E</x:v>
      </x:c>
      <x:c r="B95" s="240" t="str">
        <x:v>800G可插拔透镜</x:v>
      </x:c>
      <x:c r="C95" s="240" t="str">
        <x:v>800G</x:v>
      </x:c>
      <x:c r="D95" s="248" t="n">
        <x:f>'机会输入'!G7*MAX(0,'机会输入'!$B$36)*1</x:f>
        <x:v>5000</x:v>
      </x:c>
      <x:c r="E95" s="248" t="n">
        <x:f>'机会输入'!G6</x:f>
        <x:v>10</x:v>
      </x:c>
      <x:c r="F95" s="249" t="str">
        <x:v>只透镜</x:v>
      </x:c>
      <x:c r="G95" s="242" t="n">
        <x:f>D95*10000*E95</x:f>
        <x:v>500000000</x:v>
      </x:c>
      <x:c r="H95" s="249" t="n">
        <x:f>('机会输入'!G8)*MAX(0,'机会输入'!$C$36)</x:f>
        <x:v>4</x:v>
      </x:c>
      <x:c r="I95" s="249" t="n">
        <x:f>H95*MAX(0,'机会输入'!G32)</x:f>
        <x:v>3.24</x:v>
      </x:c>
      <x:c r="J95" s="250" t="n">
        <x:f>MAX(0,MIN(1,MAX(0,MIN(1,'机会输入'!G11))*MAX(0,'机会输入'!$F$36)))</x:f>
        <x:v>0.1</x:v>
      </x:c>
      <x:c r="K95" s="249" t="n">
        <x:f>G95*I95/100000000</x:f>
        <x:v>16.2</x:v>
      </x:c>
      <x:c r="L95" s="249" t="n">
        <x:f>K95*J95</x:f>
        <x:v>1.62</x:v>
      </x:c>
      <x:c r="M95" s="249" t="n">
        <x:f>L95*'机会输入'!G4</x:f>
        <x:v>0.5346000000000001</x:v>
      </x:c>
      <x:c r="N95" s="245"/>
    </x:row>
    <x:row r="96">
      <x:c r="A96" s="240" t="str">
        <x:v>2028E</x:v>
      </x:c>
      <x:c r="B96" s="240" t="str">
        <x:v>1.6T可插拔透镜</x:v>
      </x:c>
      <x:c r="C96" s="240" t="str">
        <x:v>1.6T</x:v>
      </x:c>
      <x:c r="D96" s="248" t="n">
        <x:f>'机会输入'!G9*MAX(0,'机会输入'!$B$36)*1</x:f>
        <x:v>10500</x:v>
      </x:c>
      <x:c r="E96" s="248" t="n">
        <x:f>'机会输入'!G6</x:f>
        <x:v>10</x:v>
      </x:c>
      <x:c r="F96" s="249" t="str">
        <x:v>只透镜</x:v>
      </x:c>
      <x:c r="G96" s="242" t="n">
        <x:f>D96*10000*E96</x:f>
        <x:v>1050000000</x:v>
      </x:c>
      <x:c r="H96" s="249" t="n">
        <x:f>('机会输入'!G10)*MAX(0,'机会输入'!$C$36)</x:f>
        <x:v>5.6</x:v>
      </x:c>
      <x:c r="I96" s="249" t="n">
        <x:f>H96*MAX(0,'机会输入'!G32)</x:f>
        <x:v>4.536</x:v>
      </x:c>
      <x:c r="J96" s="250" t="n">
        <x:f>MAX(0,MIN(1,MAX(0,MIN(1,'机会输入'!G11))*MAX(0,'机会输入'!$F$36)))</x:f>
        <x:v>0.1</x:v>
      </x:c>
      <x:c r="K96" s="249" t="n">
        <x:f>G96*I96/100000000</x:f>
        <x:v>47.628</x:v>
      </x:c>
      <x:c r="L96" s="249" t="n">
        <x:f>K96*J96</x:f>
        <x:v>4.7628</x:v>
      </x:c>
      <x:c r="M96" s="249" t="n">
        <x:f>L96*'机会输入'!G4</x:f>
        <x:v>1.5717240000000001</x:v>
      </x:c>
      <x:c r="N96" s="245"/>
    </x:row>
    <x:row r="97">
      <x:c r="A97" s="240" t="str">
        <x:v>2028E</x:v>
      </x:c>
      <x:c r="B97" s="240" t="str">
        <x:v>OCS NxN透镜阵列</x:v>
      </x:c>
      <x:c r="C97" s="240" t="str">
        <x:v>小端口参考系统</x:v>
      </x:c>
      <x:c r="D97" s="248" t="n">
        <x:f>'机会输入'!G12*MAX(0,'机会输入'!$B$36)*(1-MAX(0,MIN(1,'规格输入'!G5)))</x:f>
        <x:v>9</x:v>
      </x:c>
      <x:c r="E97" s="248" t="n">
        <x:f>'规格输入'!$E$4</x:f>
        <x:v>256</x:v>
      </x:c>
      <x:c r="F97" s="249" t="str">
        <x:v>总光通道</x:v>
      </x:c>
      <x:c r="G97" s="242" t="n">
        <x:f>D97*10000*E97</x:f>
        <x:v>23040000</x:v>
      </x:c>
      <x:c r="H97" s="249" t="n">
        <x:f>'规格输入'!$M$6</x:f>
        <x:v>20</x:v>
      </x:c>
      <x:c r="I97" s="249" t="n">
        <x:f>H97*MAX(0,'机会输入'!G5)</x:f>
        <x:v>14.399999999999999</x:v>
      </x:c>
      <x:c r="J97" s="250" t="n">
        <x:f>MAX(0,MIN(1,MAX(0,MIN(1,'机会输入'!G15))*MAX(0,'机会输入'!$F$36)))</x:f>
        <x:v>0.8</x:v>
      </x:c>
      <x:c r="K97" s="249" t="n">
        <x:f>G97*I97/100000000</x:f>
        <x:v>3.3177599999999994</x:v>
      </x:c>
      <x:c r="L97" s="249" t="n">
        <x:f>K97*J97</x:f>
        <x:v>2.6542079999999997</x:v>
      </x:c>
      <x:c r="M97" s="249" t="n">
        <x:f>L97*'机会输入'!G4</x:f>
        <x:v>0.8758886399999999</x:v>
      </x:c>
      <x:c r="N97" s="245"/>
    </x:row>
    <x:row r="98">
      <x:c r="A98" s="240" t="str">
        <x:v>2028E</x:v>
      </x:c>
      <x:c r="B98" s="240" t="str">
        <x:v>OCS NxN透镜阵列</x:v>
      </x:c>
      <x:c r="C98" s="240" t="str">
        <x:v>大端口320×320</x:v>
      </x:c>
      <x:c r="D98" s="248" t="n">
        <x:f>'机会输入'!G12*MAX(0,'机会输入'!$B$36)*MAX(0,MIN(1,'规格输入'!G5))</x:f>
        <x:v>11</x:v>
      </x:c>
      <x:c r="E98" s="248" t="n">
        <x:f>'机会输入'!G13</x:f>
        <x:v>640</x:v>
      </x:c>
      <x:c r="F98" s="249" t="str">
        <x:v>总光通道</x:v>
      </x:c>
      <x:c r="G98" s="242" t="n">
        <x:f>D98*10000*E98</x:f>
        <x:v>70400000</x:v>
      </x:c>
      <x:c r="H98" s="249" t="n">
        <x:f>'机会输入'!$I$36</x:f>
        <x:v>40</x:v>
      </x:c>
      <x:c r="I98" s="249" t="n">
        <x:f>H98*MAX(0,'机会输入'!G5)</x:f>
        <x:v>28.799999999999997</x:v>
      </x:c>
      <x:c r="J98" s="250" t="n">
        <x:f>MAX(0,MIN(1,MAX(0,MIN(1,'机会输入'!G15+'规格输入'!$E$8))*MAX(0,'机会输入'!$F$36)))</x:f>
        <x:v>0.8500000000000001</x:v>
      </x:c>
      <x:c r="K98" s="249" t="n">
        <x:f>G98*I98/100000000</x:f>
        <x:v>20.275199999999998</x:v>
      </x:c>
      <x:c r="L98" s="249" t="n">
        <x:f>K98*J98</x:f>
        <x:v>17.23392</x:v>
      </x:c>
      <x:c r="M98" s="249" t="n">
        <x:f>L98*'机会输入'!G4</x:f>
        <x:v>5.6871936000000005</x:v>
      </x:c>
      <x:c r="N98" s="245"/>
    </x:row>
    <x:row r="99">
      <x:c r="A99" s="240" t="str">
        <x:v>2028E</x:v>
      </x:c>
      <x:c r="B99" s="240" t="str">
        <x:v>FAU V型槽</x:v>
      </x:c>
      <x:c r="C99" s="240" t="str">
        <x:v>102.4T</x:v>
      </x:c>
      <x:c r="D99" s="248" t="n">
        <x:f>'机会输入'!G16*MAX(0,'机会输入'!$B$36)*(1-MAX(0,MIN(1,'规格输入'!G6)))</x:f>
        <x:v>30</x:v>
      </x:c>
      <x:c r="E99" s="248" t="n">
        <x:f>'机会输入'!G17*'机会输入'!G18</x:f>
        <x:v>1152</x:v>
      </x:c>
      <x:c r="F99" s="249" t="str">
        <x:v>通道</x:v>
      </x:c>
      <x:c r="G99" s="242" t="n">
        <x:f>D99*10000*E99</x:f>
        <x:v>345600000</x:v>
      </x:c>
      <x:c r="H99" s="249" t="n">
        <x:f>('机会输入'!G19)*MAX(0,'机会输入'!$C$36)*'规格输入'!$E$7</x:f>
        <x:v>8.959999999999999</x:v>
      </x:c>
      <x:c r="I99" s="249" t="n">
        <x:f>H99*MAX(0,'机会输入'!G5)</x:f>
        <x:v>6.451199999999999</x:v>
      </x:c>
      <x:c r="J99" s="250" t="n">
        <x:f>MAX(0,MIN(1,MAX(0,MIN(1,'机会输入'!G20))*MAX(0,'机会输入'!$F$36)))</x:f>
        <x:v>0.55</x:v>
      </x:c>
      <x:c r="K99" s="249" t="n">
        <x:f>G99*I99/100000000</x:f>
        <x:v>22.295347199999995</x:v>
      </x:c>
      <x:c r="L99" s="249" t="n">
        <x:f>K99*J99</x:f>
        <x:v>12.262440959999998</x:v>
      </x:c>
      <x:c r="M99" s="249" t="n">
        <x:f>L99*'机会输入'!G4</x:f>
        <x:v>4.0466055168</x:v>
      </x:c>
      <x:c r="N99" s="245"/>
    </x:row>
    <x:row r="100">
      <x:c r="A100" s="240" t="str">
        <x:v>2028E</x:v>
      </x:c>
      <x:c r="B100" s="240" t="str">
        <x:v>FAU V型槽</x:v>
      </x:c>
      <x:c r="C100" s="240" t="str">
        <x:v>204.8T</x:v>
      </x:c>
      <x:c r="D100" s="248" t="n">
        <x:f>'机会输入'!G16*MAX(0,'机会输入'!$B$36)*MAX(0,MIN(1,'规格输入'!G6))</x:f>
        <x:v>20</x:v>
      </x:c>
      <x:c r="E100" s="248" t="n">
        <x:f>'机会输入'!G17*'规格输入'!$E$9</x:f>
        <x:v>2304</x:v>
      </x:c>
      <x:c r="F100" s="249" t="str">
        <x:v>通道</x:v>
      </x:c>
      <x:c r="G100" s="242" t="n">
        <x:f>D100*10000*E100</x:f>
        <x:v>460800000</x:v>
      </x:c>
      <x:c r="H100" s="249" t="n">
        <x:f>('机会输入'!G19)*MAX(0,'机会输入'!$C$36)</x:f>
        <x:v>11.2</x:v>
      </x:c>
      <x:c r="I100" s="249" t="n">
        <x:f>H100*MAX(0,'机会输入'!G5)</x:f>
        <x:v>8.064</x:v>
      </x:c>
      <x:c r="J100" s="250" t="n">
        <x:f>MAX(0,MIN(1,MAX(0,MIN(1,'机会输入'!G20+'规格输入'!$E$8))*MAX(0,'机会输入'!$F$36)))</x:f>
        <x:v>0.6000000000000001</x:v>
      </x:c>
      <x:c r="K100" s="249" t="n">
        <x:f>G100*I100/100000000</x:f>
        <x:v>37.158912</x:v>
      </x:c>
      <x:c r="L100" s="249" t="n">
        <x:f>K100*J100</x:f>
        <x:v>22.295347200000005</x:v>
      </x:c>
      <x:c r="M100" s="249" t="n">
        <x:f>L100*'机会输入'!G4</x:f>
        <x:v>7.357464576000003</x:v>
      </x:c>
      <x:c r="N100" s="245"/>
    </x:row>
    <x:row r="101">
      <x:c r="A101" s="240" t="str">
        <x:v>2028E</x:v>
      </x:c>
      <x:c r="B101" s="240" t="str">
        <x:v>FAU棱镜透镜阵列</x:v>
      </x:c>
      <x:c r="C101" s="240" t="str">
        <x:v>102.4T</x:v>
      </x:c>
      <x:c r="D101" s="248" t="n">
        <x:f>'机会输入'!G16*MAX(0,'机会输入'!$B$36)*(1-MAX(0,MIN(1,'规格输入'!G6)))</x:f>
        <x:v>30</x:v>
      </x:c>
      <x:c r="E101" s="248" t="n">
        <x:f>'机会输入'!G21*'机会输入'!G22</x:f>
        <x:v>1152</x:v>
      </x:c>
      <x:c r="F101" s="249" t="str">
        <x:v>通道</x:v>
      </x:c>
      <x:c r="G101" s="242" t="n">
        <x:f>D101*10000*E101</x:f>
        <x:v>345600000</x:v>
      </x:c>
      <x:c r="H101" s="249" t="n">
        <x:f>('机会输入'!G23)*MAX(0,'机会输入'!$C$36)*'规格输入'!$E$7</x:f>
        <x:v>12.8</x:v>
      </x:c>
      <x:c r="I101" s="249" t="n">
        <x:f>H101*MAX(0,'机会输入'!G5)</x:f>
        <x:v>9.216</x:v>
      </x:c>
      <x:c r="J101" s="250" t="n">
        <x:f>'机会输入'!G24</x:f>
        <x:v>0.45</x:v>
      </x:c>
      <x:c r="K101" s="249" t="n">
        <x:f>G101*I101/100000000</x:f>
        <x:v>31.850495999999996</x:v>
      </x:c>
      <x:c r="L101" s="249" t="n">
        <x:f>K101*J101</x:f>
        <x:v>14.332723199999998</x:v>
      </x:c>
      <x:c r="M101" s="249" t="n">
        <x:f>L101*'机会输入'!G4</x:f>
        <x:v>4.729798656</x:v>
      </x:c>
      <x:c r="N101" s="245"/>
    </x:row>
    <x:row r="102">
      <x:c r="A102" s="240" t="str">
        <x:v>2028E</x:v>
      </x:c>
      <x:c r="B102" s="240" t="str">
        <x:v>FAU棱镜透镜阵列</x:v>
      </x:c>
      <x:c r="C102" s="240" t="str">
        <x:v>204.8T</x:v>
      </x:c>
      <x:c r="D102" s="248" t="n">
        <x:f>'机会输入'!G16*MAX(0,'机会输入'!$B$36)*MAX(0,MIN(1,'规格输入'!G6))</x:f>
        <x:v>20</x:v>
      </x:c>
      <x:c r="E102" s="248" t="n">
        <x:f>'机会输入'!G21*'规格输入'!$E$9</x:f>
        <x:v>2304</x:v>
      </x:c>
      <x:c r="F102" s="249" t="str">
        <x:v>通道</x:v>
      </x:c>
      <x:c r="G102" s="242" t="n">
        <x:f>D102*10000*E102</x:f>
        <x:v>460800000</x:v>
      </x:c>
      <x:c r="H102" s="249" t="n">
        <x:f>('机会输入'!G23)*MAX(0,'机会输入'!$C$36)</x:f>
        <x:v>16</x:v>
      </x:c>
      <x:c r="I102" s="249" t="n">
        <x:f>H102*MAX(0,'机会输入'!G5)</x:f>
        <x:v>11.52</x:v>
      </x:c>
      <x:c r="J102" s="250" t="n">
        <x:f>'机会输入'!G24</x:f>
        <x:v>0.45</x:v>
      </x:c>
      <x:c r="K102" s="249" t="n">
        <x:f>G102*I102/100000000</x:f>
        <x:v>53.08416</x:v>
      </x:c>
      <x:c r="L102" s="249" t="n">
        <x:f>K102*J102</x:f>
        <x:v>23.887871999999998</x:v>
      </x:c>
      <x:c r="M102" s="249" t="n">
        <x:f>L102*'机会输入'!G4</x:f>
        <x:v>7.882997759999999</x:v>
      </x:c>
      <x:c r="N102" s="245"/>
    </x:row>
    <x:row r="103">
      <x:c r="A103" s="240" t="str">
        <x:v>2028E</x:v>
      </x:c>
      <x:c r="B103" s="240" t="str">
        <x:v>ELS透镜＋热沉</x:v>
      </x:c>
      <x:c r="C103" s="240" t="str">
        <x:v>102.4T</x:v>
      </x:c>
      <x:c r="D103" s="248" t="n">
        <x:f>'机会输入'!G16*MAX(0,'机会输入'!$B$36)*(1-MAX(0,MIN(1,'规格输入'!G6)))</x:f>
        <x:v>30</x:v>
      </x:c>
      <x:c r="E103" s="248" t="n">
        <x:f>'机会输入'!G25</x:f>
        <x:v>128</x:v>
      </x:c>
      <x:c r="F103" s="249" t="str">
        <x:v>套光源配套</x:v>
      </x:c>
      <x:c r="G103" s="242" t="n">
        <x:f>D103*10000*E103</x:f>
        <x:v>38400000</x:v>
      </x:c>
      <x:c r="H103" s="249" t="n">
        <x:f>('机会输入'!G26+'机会输入'!G27)*MAX(0,'机会输入'!$C$36)*'规格输入'!$E$7</x:f>
        <x:v>64</x:v>
      </x:c>
      <x:c r="I103" s="249" t="n">
        <x:f>H103*MAX(0,'机会输入'!G5)</x:f>
        <x:v>46.08</x:v>
      </x:c>
      <x:c r="J103" s="250" t="n">
        <x:f>MAX(0,MIN(1,MAX(0,MIN(1,'机会输入'!G28))*MAX(0,'机会输入'!$F$36)))</x:f>
        <x:v>0.43333333333333335</x:v>
      </x:c>
      <x:c r="K103" s="249" t="n">
        <x:f>G103*I103/100000000</x:f>
        <x:v>17.69472</x:v>
      </x:c>
      <x:c r="L103" s="249" t="n">
        <x:f>K103*J103</x:f>
        <x:v>7.667712000000001</x:v>
      </x:c>
      <x:c r="M103" s="249" t="n">
        <x:f>L103*'机会输入'!G4</x:f>
        <x:v>2.5303449600000003</x:v>
      </x:c>
      <x:c r="N103" s="245"/>
    </x:row>
    <x:row r="104">
      <x:c r="A104" s="240" t="str">
        <x:v>2028E</x:v>
      </x:c>
      <x:c r="B104" s="240" t="str">
        <x:v>ELS透镜＋热沉</x:v>
      </x:c>
      <x:c r="C104" s="240" t="str">
        <x:v>204.8T</x:v>
      </x:c>
      <x:c r="D104" s="248" t="n">
        <x:f>'机会输入'!G16*MAX(0,'机会输入'!$B$36)*MAX(0,MIN(1,'规格输入'!G6))</x:f>
        <x:v>20</x:v>
      </x:c>
      <x:c r="E104" s="248" t="n">
        <x:f>'机会输入'!G25</x:f>
        <x:v>128</x:v>
      </x:c>
      <x:c r="F104" s="249" t="str">
        <x:v>套光源配套</x:v>
      </x:c>
      <x:c r="G104" s="242" t="n">
        <x:f>D104*10000*E104</x:f>
        <x:v>25600000</x:v>
      </x:c>
      <x:c r="H104" s="249" t="n">
        <x:f>('机会输入'!G26+'机会输入'!G27)*MAX(0,'机会输入'!$C$36)</x:f>
        <x:v>80</x:v>
      </x:c>
      <x:c r="I104" s="249" t="n">
        <x:f>H104*MAX(0,'机会输入'!G5)</x:f>
        <x:v>57.599999999999994</x:v>
      </x:c>
      <x:c r="J104" s="250" t="n">
        <x:f>MAX(0,MIN(1,MAX(0,MIN(1,'机会输入'!G28+'规格输入'!$E$8))*MAX(0,'机会输入'!$F$36)))</x:f>
        <x:v>0.48333333333333334</x:v>
      </x:c>
      <x:c r="K104" s="249" t="n">
        <x:f>G104*I104/100000000</x:f>
        <x:v>14.745599999999998</x:v>
      </x:c>
      <x:c r="L104" s="249" t="n">
        <x:f>K104*J104</x:f>
        <x:v>7.127039999999999</x:v>
      </x:c>
      <x:c r="M104" s="249" t="n">
        <x:f>L104*'机会输入'!G4</x:f>
        <x:v>2.3519232</x:v>
      </x:c>
      <x:c r="N104" s="245"/>
    </x:row>
    <x:row r="105">
      <x:c r="A105" s="240" t="str">
        <x:v>2028E</x:v>
      </x:c>
      <x:c r="B105" s="240" t="str">
        <x:v>FAU关键尺寸量测设备</x:v>
      </x:c>
      <x:c r="C105" s="240" t="str">
        <x:v>102.4T</x:v>
      </x:c>
      <x:c r="D105" s="248" t="n">
        <x:f>'机会输入'!G16*MAX(0,'机会输入'!$B$36)*(1-MAX(0,MIN(1,'规格输入'!G6)))</x:f>
        <x:v>30</x:v>
      </x:c>
      <x:c r="E105" s="248" t="n">
        <x:f>'机会输入'!G17/'规格输入'!$E$10</x:f>
        <x:v>0.032</x:v>
      </x:c>
      <x:c r="F105" s="249" t="str">
        <x:v>台设备</x:v>
      </x:c>
      <x:c r="G105" s="242" t="n">
        <x:f>D105*10000*E105</x:f>
        <x:v>9600</x:v>
      </x:c>
      <x:c r="H105" s="249" t="n">
        <x:f>('机会输入'!G30)*MAX(0,'机会输入'!$C$36)*'规格输入'!$E$7</x:f>
        <x:v>64000</x:v>
      </x:c>
      <x:c r="I105" s="249" t="n">
        <x:f>H105</x:f>
        <x:v>64000</x:v>
      </x:c>
      <x:c r="J105" s="250" t="n">
        <x:f>MAX(0,MIN(1,MAX(0,MIN(1,'机会输入'!G31))*MAX(0,'机会输入'!$F$36)))</x:f>
        <x:v>0.45</x:v>
      </x:c>
      <x:c r="K105" s="249" t="n">
        <x:f>G105*I105/100000000</x:f>
        <x:v>6.144</x:v>
      </x:c>
      <x:c r="L105" s="249" t="n">
        <x:f>K105*J105</x:f>
        <x:v>2.7648</x:v>
      </x:c>
      <x:c r="M105" s="249" t="n">
        <x:f>L105*'机会输入'!G4</x:f>
        <x:v>0.9123840000000001</x:v>
      </x:c>
      <x:c r="N105" s="245"/>
    </x:row>
    <x:row r="106">
      <x:c r="A106" s="240" t="str">
        <x:v>2028E</x:v>
      </x:c>
      <x:c r="B106" s="240" t="str">
        <x:v>FAU关键尺寸量测设备</x:v>
      </x:c>
      <x:c r="C106" s="240" t="str">
        <x:v>204.8T</x:v>
      </x:c>
      <x:c r="D106" s="248" t="n">
        <x:f>'机会输入'!G16*MAX(0,'机会输入'!$B$36)*MAX(0,MIN(1,'规格输入'!G6))</x:f>
        <x:v>20</x:v>
      </x:c>
      <x:c r="E106" s="248" t="n">
        <x:f>'机会输入'!G17/'规格输入'!$E$10</x:f>
        <x:v>0.032</x:v>
      </x:c>
      <x:c r="F106" s="249" t="str">
        <x:v>台设备</x:v>
      </x:c>
      <x:c r="G106" s="242" t="n">
        <x:f>D106*10000*E106</x:f>
        <x:v>6400</x:v>
      </x:c>
      <x:c r="H106" s="249" t="n">
        <x:f>('机会输入'!G30)*MAX(0,'机会输入'!$C$36)</x:f>
        <x:v>80000</x:v>
      </x:c>
      <x:c r="I106" s="249" t="n">
        <x:f>H106</x:f>
        <x:v>80000</x:v>
      </x:c>
      <x:c r="J106" s="250" t="n">
        <x:f>MAX(0,MIN(1,MAX(0,MIN(1,'机会输入'!G31+'规格输入'!$E$8))*MAX(0,'机会输入'!$F$36)))</x:f>
        <x:v>0.5</x:v>
      </x:c>
      <x:c r="K106" s="249" t="n">
        <x:f>G106*I106/100000000</x:f>
        <x:v>5.12</x:v>
      </x:c>
      <x:c r="L106" s="249" t="n">
        <x:f>K106*J106</x:f>
        <x:v>2.56</x:v>
      </x:c>
      <x:c r="M106" s="249" t="n">
        <x:f>L106*'机会输入'!G4</x:f>
        <x:v>0.8448000000000001</x:v>
      </x:c>
      <x:c r="N106" s="245"/>
    </x:row>
    <x:row r="107">
      <x:c r="A107" s="240" t="str">
        <x:v>2029E</x:v>
      </x:c>
      <x:c r="B107" s="240" t="str">
        <x:v>800G可插拔透镜</x:v>
      </x:c>
      <x:c r="C107" s="240" t="str">
        <x:v>800G</x:v>
      </x:c>
      <x:c r="D107" s="248" t="n">
        <x:f>'机会输入'!H7*MAX(0,'机会输入'!$B$36)*1</x:f>
        <x:v>3200</x:v>
      </x:c>
      <x:c r="E107" s="248" t="n">
        <x:f>'机会输入'!H6</x:f>
        <x:v>10</x:v>
      </x:c>
      <x:c r="F107" s="249" t="str">
        <x:v>只透镜</x:v>
      </x:c>
      <x:c r="G107" s="242" t="n">
        <x:f>D107*10000*E107</x:f>
        <x:v>320000000</x:v>
      </x:c>
      <x:c r="H107" s="249" t="n">
        <x:f>('机会输入'!H8)*MAX(0,'机会输入'!$C$36)</x:f>
        <x:v>4</x:v>
      </x:c>
      <x:c r="I107" s="249" t="n">
        <x:f>H107*MAX(0,'机会输入'!H32)</x:f>
        <x:v>2.916</x:v>
      </x:c>
      <x:c r="J107" s="250" t="n">
        <x:f>MAX(0,MIN(1,MAX(0,MIN(1,'机会输入'!H11))*MAX(0,'机会输入'!$G$36)))</x:f>
        <x:v>0.1</x:v>
      </x:c>
      <x:c r="K107" s="249" t="n">
        <x:f>G107*I107/100000000</x:f>
        <x:v>9.3312</x:v>
      </x:c>
      <x:c r="L107" s="249" t="n">
        <x:f>K107*J107</x:f>
        <x:v>0.9331200000000002</x:v>
      </x:c>
      <x:c r="M107" s="249" t="n">
        <x:f>L107*'机会输入'!H4</x:f>
        <x:v>0.3079296000000001</x:v>
      </x:c>
      <x:c r="N107" s="245"/>
    </x:row>
    <x:row r="108">
      <x:c r="A108" s="240" t="str">
        <x:v>2029E</x:v>
      </x:c>
      <x:c r="B108" s="240" t="str">
        <x:v>1.6T可插拔透镜</x:v>
      </x:c>
      <x:c r="C108" s="240" t="str">
        <x:v>1.6T</x:v>
      </x:c>
      <x:c r="D108" s="248" t="n">
        <x:f>'机会输入'!H9*MAX(0,'机会输入'!$B$36)*1</x:f>
        <x:v>14500</x:v>
      </x:c>
      <x:c r="E108" s="248" t="n">
        <x:f>'机会输入'!H6</x:f>
        <x:v>10</x:v>
      </x:c>
      <x:c r="F108" s="249" t="str">
        <x:v>只透镜</x:v>
      </x:c>
      <x:c r="G108" s="242" t="n">
        <x:f>D108*10000*E108</x:f>
        <x:v>1450000000</x:v>
      </x:c>
      <x:c r="H108" s="249" t="n">
        <x:f>('机会输入'!H10)*MAX(0,'机会输入'!$C$36)</x:f>
        <x:v>5.6</x:v>
      </x:c>
      <x:c r="I108" s="249" t="n">
        <x:f>H108*MAX(0,'机会输入'!H32)</x:f>
        <x:v>4.0824</x:v>
      </x:c>
      <x:c r="J108" s="250" t="n">
        <x:f>MAX(0,MIN(1,MAX(0,MIN(1,'机会输入'!H11))*MAX(0,'机会输入'!$G$36)))</x:f>
        <x:v>0.1</x:v>
      </x:c>
      <x:c r="K108" s="249" t="n">
        <x:f>G108*I108/100000000</x:f>
        <x:v>59.1948</x:v>
      </x:c>
      <x:c r="L108" s="249" t="n">
        <x:f>K108*J108</x:f>
        <x:v>5.91948</x:v>
      </x:c>
      <x:c r="M108" s="249" t="n">
        <x:f>L108*'机会输入'!H4</x:f>
        <x:v>1.9534284000000002</x:v>
      </x:c>
      <x:c r="N108" s="245"/>
    </x:row>
    <x:row r="109">
      <x:c r="A109" s="240" t="str">
        <x:v>2029E</x:v>
      </x:c>
      <x:c r="B109" s="240" t="str">
        <x:v>OCS NxN透镜阵列</x:v>
      </x:c>
      <x:c r="C109" s="240" t="str">
        <x:v>小端口参考系统</x:v>
      </x:c>
      <x:c r="D109" s="248" t="n">
        <x:f>'机会输入'!H12*MAX(0,'机会输入'!$B$36)*(1-MAX(0,MIN(1,'规格输入'!H5)))</x:f>
        <x:v>11.2</x:v>
      </x:c>
      <x:c r="E109" s="248" t="n">
        <x:f>'规格输入'!$E$4</x:f>
        <x:v>256</x:v>
      </x:c>
      <x:c r="F109" s="249" t="str">
        <x:v>总光通道</x:v>
      </x:c>
      <x:c r="G109" s="242" t="n">
        <x:f>D109*10000*E109</x:f>
        <x:v>28672000</x:v>
      </x:c>
      <x:c r="H109" s="249" t="n">
        <x:f>'规格输入'!$M$6</x:f>
        <x:v>20</x:v>
      </x:c>
      <x:c r="I109" s="249" t="n">
        <x:f>H109*MAX(0,'机会输入'!H5)</x:f>
        <x:v>12.96</x:v>
      </x:c>
      <x:c r="J109" s="250" t="n">
        <x:f>MAX(0,MIN(1,MAX(0,MIN(1,'机会输入'!H15))*MAX(0,'机会输入'!$G$36)))</x:f>
        <x:v>0.7</x:v>
      </x:c>
      <x:c r="K109" s="249" t="n">
        <x:f>G109*I109/100000000</x:f>
        <x:v>3.7158912</x:v>
      </x:c>
      <x:c r="L109" s="249" t="n">
        <x:f>K109*J109</x:f>
        <x:v>2.60112384</x:v>
      </x:c>
      <x:c r="M109" s="249" t="n">
        <x:f>L109*'机会输入'!H4</x:f>
        <x:v>0.8583708672000001</x:v>
      </x:c>
      <x:c r="N109" s="245"/>
    </x:row>
    <x:row r="110">
      <x:c r="A110" s="240" t="str">
        <x:v>2029E</x:v>
      </x:c>
      <x:c r="B110" s="240" t="str">
        <x:v>OCS NxN透镜阵列</x:v>
      </x:c>
      <x:c r="C110" s="240" t="str">
        <x:v>大端口320×320</x:v>
      </x:c>
      <x:c r="D110" s="248" t="n">
        <x:f>'机会输入'!H12*MAX(0,'机会输入'!$B$36)*MAX(0,MIN(1,'规格输入'!H5))</x:f>
        <x:v>20.8</x:v>
      </x:c>
      <x:c r="E110" s="248" t="n">
        <x:f>'机会输入'!H13</x:f>
        <x:v>640</x:v>
      </x:c>
      <x:c r="F110" s="249" t="str">
        <x:v>总光通道</x:v>
      </x:c>
      <x:c r="G110" s="242" t="n">
        <x:f>D110*10000*E110</x:f>
        <x:v>133120000</x:v>
      </x:c>
      <x:c r="H110" s="249" t="n">
        <x:f>'机会输入'!$I$36</x:f>
        <x:v>40</x:v>
      </x:c>
      <x:c r="I110" s="249" t="n">
        <x:f>H110*MAX(0,'机会输入'!H5)</x:f>
        <x:v>25.92</x:v>
      </x:c>
      <x:c r="J110" s="250" t="n">
        <x:f>MAX(0,MIN(1,MAX(0,MIN(1,'机会输入'!H15+'规格输入'!$E$8))*MAX(0,'机会输入'!$G$36)))</x:f>
        <x:v>0.75</x:v>
      </x:c>
      <x:c r="K110" s="249" t="n">
        <x:f>G110*I110/100000000</x:f>
        <x:v>34.504704</x:v>
      </x:c>
      <x:c r="L110" s="249" t="n">
        <x:f>K110*J110</x:f>
        <x:v>25.878527999999996</x:v>
      </x:c>
      <x:c r="M110" s="249" t="n">
        <x:f>L110*'机会输入'!H4</x:f>
        <x:v>8.53991424</x:v>
      </x:c>
      <x:c r="N110" s="245"/>
    </x:row>
    <x:row r="111">
      <x:c r="A111" s="240" t="str">
        <x:v>2029E</x:v>
      </x:c>
      <x:c r="B111" s="240" t="str">
        <x:v>FAU V型槽</x:v>
      </x:c>
      <x:c r="C111" s="240" t="str">
        <x:v>102.4T</x:v>
      </x:c>
      <x:c r="D111" s="248" t="n">
        <x:f>'机会输入'!H16*MAX(0,'机会输入'!$B$36)*(1-MAX(0,MIN(1,'规格输入'!H6)))</x:f>
        <x:v>29.749999999999996</x:v>
      </x:c>
      <x:c r="E111" s="248" t="n">
        <x:f>'机会输入'!H17*'机会输入'!H18</x:f>
        <x:v>1152</x:v>
      </x:c>
      <x:c r="F111" s="249" t="str">
        <x:v>通道</x:v>
      </x:c>
      <x:c r="G111" s="242" t="n">
        <x:f>D111*10000*E111</x:f>
        <x:v>342719999.99999994</x:v>
      </x:c>
      <x:c r="H111" s="249" t="n">
        <x:f>('机会输入'!H19)*MAX(0,'机会输入'!$C$36)*'规格输入'!$E$7</x:f>
        <x:v>8.959999999999999</x:v>
      </x:c>
      <x:c r="I111" s="249" t="n">
        <x:f>H111*MAX(0,'机会输入'!H5)</x:f>
        <x:v>5.80608</x:v>
      </x:c>
      <x:c r="J111" s="250" t="n">
        <x:f>MAX(0,MIN(1,MAX(0,MIN(1,'机会输入'!H20))*MAX(0,'机会输入'!$G$36)))</x:f>
        <x:v>0.6</x:v>
      </x:c>
      <x:c r="K111" s="249" t="n">
        <x:f>G111*I111/100000000</x:f>
        <x:v>19.898597375999994</x:v>
      </x:c>
      <x:c r="L111" s="249" t="n">
        <x:f>K111*J111</x:f>
        <x:v>11.939158425599997</x:v>
      </x:c>
      <x:c r="M111" s="249" t="n">
        <x:f>L111*'机会输入'!H4</x:f>
        <x:v>3.939922280447999</x:v>
      </x:c>
      <x:c r="N111" s="245"/>
    </x:row>
    <x:row r="112">
      <x:c r="A112" s="240" t="str">
        <x:v>2029E</x:v>
      </x:c>
      <x:c r="B112" s="240" t="str">
        <x:v>FAU V型槽</x:v>
      </x:c>
      <x:c r="C112" s="240" t="str">
        <x:v>204.8T</x:v>
      </x:c>
      <x:c r="D112" s="248" t="n">
        <x:f>'机会输入'!H16*MAX(0,'机会输入'!$B$36)*MAX(0,MIN(1,'规格输入'!H6))</x:f>
        <x:v>55.25</x:v>
      </x:c>
      <x:c r="E112" s="248" t="n">
        <x:f>'机会输入'!H17*'规格输入'!$E$9</x:f>
        <x:v>2304</x:v>
      </x:c>
      <x:c r="F112" s="249" t="str">
        <x:v>通道</x:v>
      </x:c>
      <x:c r="G112" s="242" t="n">
        <x:f>D112*10000*E112</x:f>
        <x:v>1272960000</x:v>
      </x:c>
      <x:c r="H112" s="249" t="n">
        <x:f>('机会输入'!H19)*MAX(0,'机会输入'!$C$36)</x:f>
        <x:v>11.2</x:v>
      </x:c>
      <x:c r="I112" s="249" t="n">
        <x:f>H112*MAX(0,'机会输入'!H5)</x:f>
        <x:v>7.2576</x:v>
      </x:c>
      <x:c r="J112" s="250" t="n">
        <x:f>MAX(0,MIN(1,MAX(0,MIN(1,'机会输入'!H20+'规格输入'!$E$8))*MAX(0,'机会输入'!$G$36)))</x:f>
        <x:v>0.65</x:v>
      </x:c>
      <x:c r="K112" s="249" t="n">
        <x:f>G112*I112/100000000</x:f>
        <x:v>92.38634496</x:v>
      </x:c>
      <x:c r="L112" s="249" t="n">
        <x:f>K112*J112</x:f>
        <x:v>60.051124224000006</x:v>
      </x:c>
      <x:c r="M112" s="249" t="n">
        <x:f>L112*'机会输入'!H4</x:f>
        <x:v>19.816870993920002</x:v>
      </x:c>
      <x:c r="N112" s="245"/>
    </x:row>
    <x:row r="113">
      <x:c r="A113" s="240" t="str">
        <x:v>2029E</x:v>
      </x:c>
      <x:c r="B113" s="240" t="str">
        <x:v>FAU棱镜透镜阵列</x:v>
      </x:c>
      <x:c r="C113" s="240" t="str">
        <x:v>102.4T</x:v>
      </x:c>
      <x:c r="D113" s="248" t="n">
        <x:f>'机会输入'!H16*MAX(0,'机会输入'!$B$36)*(1-MAX(0,MIN(1,'规格输入'!H6)))</x:f>
        <x:v>29.749999999999996</x:v>
      </x:c>
      <x:c r="E113" s="248" t="n">
        <x:f>'机会输入'!H21*'机会输入'!H22</x:f>
        <x:v>1152</x:v>
      </x:c>
      <x:c r="F113" s="249" t="str">
        <x:v>通道</x:v>
      </x:c>
      <x:c r="G113" s="242" t="n">
        <x:f>D113*10000*E113</x:f>
        <x:v>342719999.99999994</x:v>
      </x:c>
      <x:c r="H113" s="249" t="n">
        <x:f>('机会输入'!H23)*MAX(0,'机会输入'!$C$36)*'规格输入'!$E$7</x:f>
        <x:v>12.8</x:v>
      </x:c>
      <x:c r="I113" s="249" t="n">
        <x:f>H113*MAX(0,'机会输入'!H5)</x:f>
        <x:v>8.294400000000001</x:v>
      </x:c>
      <x:c r="J113" s="250" t="n">
        <x:f>'机会输入'!H24</x:f>
        <x:v>0.45</x:v>
      </x:c>
      <x:c r="K113" s="249" t="n">
        <x:f>G113*I113/100000000</x:f>
        <x:v>28.42656768</x:v>
      </x:c>
      <x:c r="L113" s="249" t="n">
        <x:f>K113*J113</x:f>
        <x:v>12.791955456</x:v>
      </x:c>
      <x:c r="M113" s="249" t="n">
        <x:f>L113*'机会输入'!H4</x:f>
        <x:v>4.22134530048</x:v>
      </x:c>
      <x:c r="N113" s="245"/>
    </x:row>
    <x:row r="114">
      <x:c r="A114" s="240" t="str">
        <x:v>2029E</x:v>
      </x:c>
      <x:c r="B114" s="240" t="str">
        <x:v>FAU棱镜透镜阵列</x:v>
      </x:c>
      <x:c r="C114" s="240" t="str">
        <x:v>204.8T</x:v>
      </x:c>
      <x:c r="D114" s="248" t="n">
        <x:f>'机会输入'!H16*MAX(0,'机会输入'!$B$36)*MAX(0,MIN(1,'规格输入'!H6))</x:f>
        <x:v>55.25</x:v>
      </x:c>
      <x:c r="E114" s="248" t="n">
        <x:f>'机会输入'!H21*'规格输入'!$E$9</x:f>
        <x:v>2304</x:v>
      </x:c>
      <x:c r="F114" s="249" t="str">
        <x:v>通道</x:v>
      </x:c>
      <x:c r="G114" s="242" t="n">
        <x:f>D114*10000*E114</x:f>
        <x:v>1272960000</x:v>
      </x:c>
      <x:c r="H114" s="249" t="n">
        <x:f>('机会输入'!H23)*MAX(0,'机会输入'!$C$36)</x:f>
        <x:v>16</x:v>
      </x:c>
      <x:c r="I114" s="249" t="n">
        <x:f>H114*MAX(0,'机会输入'!H5)</x:f>
        <x:v>10.368</x:v>
      </x:c>
      <x:c r="J114" s="250" t="n">
        <x:f>'机会输入'!H24</x:f>
        <x:v>0.45</x:v>
      </x:c>
      <x:c r="K114" s="249" t="n">
        <x:f>G114*I114/100000000</x:f>
        <x:v>131.9804928</x:v>
      </x:c>
      <x:c r="L114" s="249" t="n">
        <x:f>K114*J114</x:f>
        <x:v>59.39122176000001</x:v>
      </x:c>
      <x:c r="M114" s="249" t="n">
        <x:f>L114*'机会输入'!H4</x:f>
        <x:v>19.599103180800004</x:v>
      </x:c>
      <x:c r="N114" s="245"/>
    </x:row>
    <x:row r="115">
      <x:c r="A115" s="240" t="str">
        <x:v>2029E</x:v>
      </x:c>
      <x:c r="B115" s="240" t="str">
        <x:v>ELS透镜＋热沉</x:v>
      </x:c>
      <x:c r="C115" s="240" t="str">
        <x:v>102.4T</x:v>
      </x:c>
      <x:c r="D115" s="248" t="n">
        <x:f>'机会输入'!H16*MAX(0,'机会输入'!$B$36)*(1-MAX(0,MIN(1,'规格输入'!H6)))</x:f>
        <x:v>29.749999999999996</x:v>
      </x:c>
      <x:c r="E115" s="248" t="n">
        <x:f>'机会输入'!H25</x:f>
        <x:v>128</x:v>
      </x:c>
      <x:c r="F115" s="249" t="str">
        <x:v>套光源配套</x:v>
      </x:c>
      <x:c r="G115" s="242" t="n">
        <x:f>D115*10000*E115</x:f>
        <x:v>38079999.99999999</x:v>
      </x:c>
      <x:c r="H115" s="249" t="n">
        <x:f>('机会输入'!H26+'机会输入'!H27)*MAX(0,'机会输入'!$C$36)*'规格输入'!$E$7</x:f>
        <x:v>64</x:v>
      </x:c>
      <x:c r="I115" s="249" t="n">
        <x:f>H115*MAX(0,'机会输入'!H5)</x:f>
        <x:v>41.472</x:v>
      </x:c>
      <x:c r="J115" s="250" t="n">
        <x:f>MAX(0,MIN(1,MAX(0,MIN(1,'机会输入'!H28))*MAX(0,'机会输入'!$G$36)))</x:f>
        <x:v>0.4166666666666667</x:v>
      </x:c>
      <x:c r="K115" s="249" t="n">
        <x:f>G115*I115/100000000</x:f>
        <x:v>15.792537599999998</x:v>
      </x:c>
      <x:c r="L115" s="249" t="n">
        <x:f>K115*J115</x:f>
        <x:v>6.580223999999999</x:v>
      </x:c>
      <x:c r="M115" s="249" t="n">
        <x:f>L115*'机会输入'!H4</x:f>
        <x:v>2.17147392</x:v>
      </x:c>
      <x:c r="N115" s="245"/>
    </x:row>
    <x:row r="116">
      <x:c r="A116" s="240" t="str">
        <x:v>2029E</x:v>
      </x:c>
      <x:c r="B116" s="240" t="str">
        <x:v>ELS透镜＋热沉</x:v>
      </x:c>
      <x:c r="C116" s="240" t="str">
        <x:v>204.8T</x:v>
      </x:c>
      <x:c r="D116" s="248" t="n">
        <x:f>'机会输入'!H16*MAX(0,'机会输入'!$B$36)*MAX(0,MIN(1,'规格输入'!H6))</x:f>
        <x:v>55.25</x:v>
      </x:c>
      <x:c r="E116" s="248" t="n">
        <x:f>'机会输入'!H25</x:f>
        <x:v>128</x:v>
      </x:c>
      <x:c r="F116" s="249" t="str">
        <x:v>套光源配套</x:v>
      </x:c>
      <x:c r="G116" s="242" t="n">
        <x:f>D116*10000*E116</x:f>
        <x:v>70720000</x:v>
      </x:c>
      <x:c r="H116" s="249" t="n">
        <x:f>('机会输入'!H26+'机会输入'!H27)*MAX(0,'机会输入'!$C$36)</x:f>
        <x:v>80</x:v>
      </x:c>
      <x:c r="I116" s="249" t="n">
        <x:f>H116*MAX(0,'机会输入'!H5)</x:f>
        <x:v>51.84</x:v>
      </x:c>
      <x:c r="J116" s="250" t="n">
        <x:f>MAX(0,MIN(1,MAX(0,MIN(1,'机会输入'!H28+'规格输入'!$E$8))*MAX(0,'机会输入'!$G$36)))</x:f>
        <x:v>0.4666666666666667</x:v>
      </x:c>
      <x:c r="K116" s="249" t="n">
        <x:f>G116*I116/100000000</x:f>
        <x:v>36.66124800000001</x:v>
      </x:c>
      <x:c r="L116" s="249" t="n">
        <x:f>K116*J116</x:f>
        <x:v>17.108582400000003</x:v>
      </x:c>
      <x:c r="M116" s="249" t="n">
        <x:f>L116*'机会输入'!H4</x:f>
        <x:v>5.645832192000001</x:v>
      </x:c>
      <x:c r="N116" s="245"/>
    </x:row>
    <x:row r="117">
      <x:c r="A117" s="240" t="str">
        <x:v>2029E</x:v>
      </x:c>
      <x:c r="B117" s="240" t="str">
        <x:v>FAU关键尺寸量测设备</x:v>
      </x:c>
      <x:c r="C117" s="240" t="str">
        <x:v>102.4T</x:v>
      </x:c>
      <x:c r="D117" s="248" t="n">
        <x:f>'机会输入'!H16*MAX(0,'机会输入'!$B$36)*(1-MAX(0,MIN(1,'规格输入'!H6)))</x:f>
        <x:v>29.749999999999996</x:v>
      </x:c>
      <x:c r="E117" s="248" t="n">
        <x:f>'机会输入'!H17/'规格输入'!$E$10</x:f>
        <x:v>0.032</x:v>
      </x:c>
      <x:c r="F117" s="249" t="str">
        <x:v>台设备</x:v>
      </x:c>
      <x:c r="G117" s="242" t="n">
        <x:f>D117*10000*E117</x:f>
        <x:v>9519.999999999998</x:v>
      </x:c>
      <x:c r="H117" s="249" t="n">
        <x:f>('机会输入'!H30)*MAX(0,'机会输入'!$C$36)*'规格输入'!$E$7</x:f>
        <x:v>64000</x:v>
      </x:c>
      <x:c r="I117" s="249" t="n">
        <x:f>H117</x:f>
        <x:v>64000</x:v>
      </x:c>
      <x:c r="J117" s="250" t="n">
        <x:f>MAX(0,MIN(1,MAX(0,MIN(1,'机会输入'!H31))*MAX(0,'机会输入'!$G$36)))</x:f>
        <x:v>0.5</x:v>
      </x:c>
      <x:c r="K117" s="249" t="n">
        <x:f>G117*I117/100000000</x:f>
        <x:v>6.092799999999999</x:v>
      </x:c>
      <x:c r="L117" s="249" t="n">
        <x:f>K117*J117</x:f>
        <x:v>3.0463999999999993</x:v>
      </x:c>
      <x:c r="M117" s="249" t="n">
        <x:f>L117*'机会输入'!H4</x:f>
        <x:v>1.0053119999999998</x:v>
      </x:c>
      <x:c r="N117" s="245"/>
    </x:row>
    <x:row r="118">
      <x:c r="A118" s="240" t="str">
        <x:v>2029E</x:v>
      </x:c>
      <x:c r="B118" s="240" t="str">
        <x:v>FAU关键尺寸量测设备</x:v>
      </x:c>
      <x:c r="C118" s="240" t="str">
        <x:v>204.8T</x:v>
      </x:c>
      <x:c r="D118" s="248" t="n">
        <x:f>'机会输入'!H16*MAX(0,'机会输入'!$B$36)*MAX(0,MIN(1,'规格输入'!H6))</x:f>
        <x:v>55.25</x:v>
      </x:c>
      <x:c r="E118" s="248" t="n">
        <x:f>'机会输入'!H17/'规格输入'!$E$10</x:f>
        <x:v>0.032</x:v>
      </x:c>
      <x:c r="F118" s="249" t="str">
        <x:v>台设备</x:v>
      </x:c>
      <x:c r="G118" s="242" t="n">
        <x:f>D118*10000*E118</x:f>
        <x:v>17680</x:v>
      </x:c>
      <x:c r="H118" s="249" t="n">
        <x:f>('机会输入'!H30)*MAX(0,'机会输入'!$C$36)</x:f>
        <x:v>80000</x:v>
      </x:c>
      <x:c r="I118" s="249" t="n">
        <x:f>H118</x:f>
        <x:v>80000</x:v>
      </x:c>
      <x:c r="J118" s="250" t="n">
        <x:f>MAX(0,MIN(1,MAX(0,MIN(1,'机会输入'!H31+'规格输入'!$E$8))*MAX(0,'机会输入'!$G$36)))</x:f>
        <x:v>0.55</x:v>
      </x:c>
      <x:c r="K118" s="249" t="n">
        <x:f>G118*I118/100000000</x:f>
        <x:v>14.144</x:v>
      </x:c>
      <x:c r="L118" s="249" t="n">
        <x:f>K118*J118</x:f>
        <x:v>7.7792</x:v>
      </x:c>
      <x:c r="M118" s="249" t="n">
        <x:f>L118*'机会输入'!H4</x:f>
        <x:v>2.567136</x:v>
      </x:c>
      <x:c r="N118" s="245"/>
    </x:row>
    <x:row r="119">
      <x:c r="A119" s="240" t="str">
        <x:v>2030E</x:v>
      </x:c>
      <x:c r="B119" s="240" t="str">
        <x:v>800G可插拔透镜</x:v>
      </x:c>
      <x:c r="C119" s="240" t="str">
        <x:v>800G</x:v>
      </x:c>
      <x:c r="D119" s="248" t="n">
        <x:f>'机会输入'!I7*MAX(0,'机会输入'!$B$36)*1</x:f>
        <x:v>1800</x:v>
      </x:c>
      <x:c r="E119" s="248" t="n">
        <x:f>'机会输入'!I6</x:f>
        <x:v>10</x:v>
      </x:c>
      <x:c r="F119" s="249" t="str">
        <x:v>只透镜</x:v>
      </x:c>
      <x:c r="G119" s="242" t="n">
        <x:f>D119*10000*E119</x:f>
        <x:v>180000000</x:v>
      </x:c>
      <x:c r="H119" s="249" t="n">
        <x:f>('机会输入'!I8)*MAX(0,'机会输入'!$C$36)</x:f>
        <x:v>4</x:v>
      </x:c>
      <x:c r="I119" s="249" t="n">
        <x:f>H119*MAX(0,'机会输入'!I32)</x:f>
        <x:v>2.6244</x:v>
      </x:c>
      <x:c r="J119" s="250" t="n">
        <x:f>MAX(0,MIN(1,MAX(0,MIN(1,'机会输入'!I11))*MAX(0,'机会输入'!$H$36)))</x:f>
        <x:v>0.1</x:v>
      </x:c>
      <x:c r="K119" s="249" t="n">
        <x:f>G119*I119/100000000</x:f>
        <x:v>4.72392</x:v>
      </x:c>
      <x:c r="L119" s="249" t="n">
        <x:f>K119*J119</x:f>
        <x:v>0.472392</x:v>
      </x:c>
      <x:c r="M119" s="249" t="n">
        <x:f>L119*'机会输入'!I4</x:f>
        <x:v>0.15588936</x:v>
      </x:c>
      <x:c r="N119" s="245"/>
    </x:row>
    <x:row r="120">
      <x:c r="A120" s="240" t="str">
        <x:v>2030E</x:v>
      </x:c>
      <x:c r="B120" s="240" t="str">
        <x:v>1.6T可插拔透镜</x:v>
      </x:c>
      <x:c r="C120" s="240" t="str">
        <x:v>1.6T</x:v>
      </x:c>
      <x:c r="D120" s="248" t="n">
        <x:f>'机会输入'!I9*MAX(0,'机会输入'!$B$36)*1</x:f>
        <x:v>16000</x:v>
      </x:c>
      <x:c r="E120" s="248" t="n">
        <x:f>'机会输入'!I6</x:f>
        <x:v>10</x:v>
      </x:c>
      <x:c r="F120" s="249" t="str">
        <x:v>只透镜</x:v>
      </x:c>
      <x:c r="G120" s="242" t="n">
        <x:f>D120*10000*E120</x:f>
        <x:v>1600000000</x:v>
      </x:c>
      <x:c r="H120" s="249" t="n">
        <x:f>('机会输入'!I10)*MAX(0,'机会输入'!$C$36)</x:f>
        <x:v>5.6</x:v>
      </x:c>
      <x:c r="I120" s="249" t="n">
        <x:f>H120*MAX(0,'机会输入'!I32)</x:f>
        <x:v>3.6741599999999996</x:v>
      </x:c>
      <x:c r="J120" s="250" t="n">
        <x:f>MAX(0,MIN(1,MAX(0,MIN(1,'机会输入'!I11))*MAX(0,'机会输入'!$H$36)))</x:f>
        <x:v>0.1</x:v>
      </x:c>
      <x:c r="K120" s="249" t="n">
        <x:f>G120*I120/100000000</x:f>
        <x:v>58.78655999999999</x:v>
      </x:c>
      <x:c r="L120" s="249" t="n">
        <x:f>K120*J120</x:f>
        <x:v>5.878655999999999</x:v>
      </x:c>
      <x:c r="M120" s="249" t="n">
        <x:f>L120*'机会输入'!I4</x:f>
        <x:v>1.93995648</x:v>
      </x:c>
      <x:c r="N120" s="245"/>
    </x:row>
    <x:row r="121">
      <x:c r="A121" s="240" t="str">
        <x:v>2030E</x:v>
      </x:c>
      <x:c r="B121" s="240" t="str">
        <x:v>OCS NxN透镜阵列</x:v>
      </x:c>
      <x:c r="C121" s="240" t="str">
        <x:v>小端口参考系统</x:v>
      </x:c>
      <x:c r="D121" s="248" t="n">
        <x:f>'机会输入'!I12*MAX(0,'机会输入'!$B$36)*(1-MAX(0,MIN(1,'规格输入'!I5)))</x:f>
        <x:v>11.25</x:v>
      </x:c>
      <x:c r="E121" s="248" t="n">
        <x:f>'规格输入'!$E$4</x:f>
        <x:v>256</x:v>
      </x:c>
      <x:c r="F121" s="249" t="str">
        <x:v>总光通道</x:v>
      </x:c>
      <x:c r="G121" s="242" t="n">
        <x:f>D121*10000*E121</x:f>
        <x:v>28800000</x:v>
      </x:c>
      <x:c r="H121" s="249" t="n">
        <x:f>'规格输入'!$M$6</x:f>
        <x:v>20</x:v>
      </x:c>
      <x:c r="I121" s="249" t="n">
        <x:f>H121*MAX(0,'机会输入'!I5)</x:f>
        <x:v>11.664000000000001</x:v>
      </x:c>
      <x:c r="J121" s="250" t="n">
        <x:f>MAX(0,MIN(1,MAX(0,MIN(1,'机会输入'!I15))*MAX(0,'机会输入'!$H$36)))</x:f>
        <x:v>0.6</x:v>
      </x:c>
      <x:c r="K121" s="249" t="n">
        <x:f>G121*I121/100000000</x:f>
        <x:v>3.3592320000000004</x:v>
      </x:c>
      <x:c r="L121" s="249" t="n">
        <x:f>K121*J121</x:f>
        <x:v>2.0155392</x:v>
      </x:c>
      <x:c r="M121" s="249" t="n">
        <x:f>L121*'机会输入'!I4</x:f>
        <x:v>0.6651279360000001</x:v>
      </x:c>
      <x:c r="N121" s="245"/>
    </x:row>
    <x:row r="122">
      <x:c r="A122" s="240" t="str">
        <x:v>2030E</x:v>
      </x:c>
      <x:c r="B122" s="240" t="str">
        <x:v>OCS NxN透镜阵列</x:v>
      </x:c>
      <x:c r="C122" s="240" t="str">
        <x:v>大端口320×320</x:v>
      </x:c>
      <x:c r="D122" s="248" t="n">
        <x:f>'机会输入'!I12*MAX(0,'机会输入'!$B$36)*MAX(0,MIN(1,'规格输入'!I5))</x:f>
        <x:v>33.75</x:v>
      </x:c>
      <x:c r="E122" s="248" t="n">
        <x:f>'机会输入'!I13</x:f>
        <x:v>640</x:v>
      </x:c>
      <x:c r="F122" s="249" t="str">
        <x:v>总光通道</x:v>
      </x:c>
      <x:c r="G122" s="242" t="n">
        <x:f>D122*10000*E122</x:f>
        <x:v>216000000</x:v>
      </x:c>
      <x:c r="H122" s="249" t="n">
        <x:f>'机会输入'!$I$36</x:f>
        <x:v>40</x:v>
      </x:c>
      <x:c r="I122" s="249" t="n">
        <x:f>H122*MAX(0,'机会输入'!I5)</x:f>
        <x:v>23.328000000000003</x:v>
      </x:c>
      <x:c r="J122" s="250" t="n">
        <x:f>MAX(0,MIN(1,MAX(0,MIN(1,'机会输入'!I15+'规格输入'!$E$8))*MAX(0,'机会输入'!$H$36)))</x:f>
        <x:v>0.65</x:v>
      </x:c>
      <x:c r="K122" s="249" t="n">
        <x:f>G122*I122/100000000</x:f>
        <x:v>50.38848000000001</x:v>
      </x:c>
      <x:c r="L122" s="249" t="n">
        <x:f>K122*J122</x:f>
        <x:v>32.75251200000001</x:v>
      </x:c>
      <x:c r="M122" s="249" t="n">
        <x:f>L122*'机会输入'!I4</x:f>
        <x:v>10.808328960000004</x:v>
      </x:c>
      <x:c r="N122" s="245"/>
    </x:row>
    <x:row r="123">
      <x:c r="A123" s="240" t="str">
        <x:v>2030E</x:v>
      </x:c>
      <x:c r="B123" s="240" t="str">
        <x:v>FAU V型槽</x:v>
      </x:c>
      <x:c r="C123" s="240" t="str">
        <x:v>102.4T</x:v>
      </x:c>
      <x:c r="D123" s="248" t="n">
        <x:f>'机会输入'!I16*MAX(0,'机会输入'!$B$36)*(1-MAX(0,MIN(1,'规格输入'!I6)))</x:f>
        <x:v>23.999999999999993</x:v>
      </x:c>
      <x:c r="E123" s="248" t="n">
        <x:f>'机会输入'!I17*'机会输入'!I18</x:f>
        <x:v>1152</x:v>
      </x:c>
      <x:c r="F123" s="249" t="str">
        <x:v>通道</x:v>
      </x:c>
      <x:c r="G123" s="242" t="n">
        <x:f>D123*10000*E123</x:f>
        <x:v>276479999.99999994</x:v>
      </x:c>
      <x:c r="H123" s="249" t="n">
        <x:f>('机会输入'!I19)*MAX(0,'机会输入'!$C$36)*'规格输入'!$E$7</x:f>
        <x:v>8.959999999999999</x:v>
      </x:c>
      <x:c r="I123" s="249" t="n">
        <x:f>H123*MAX(0,'机会输入'!I5)</x:f>
        <x:v>5.225472</x:v>
      </x:c>
      <x:c r="J123" s="250" t="n">
        <x:f>MAX(0,MIN(1,MAX(0,MIN(1,'机会输入'!I20))*MAX(0,'机会输入'!$H$36)))</x:f>
        <x:v>0.65</x:v>
      </x:c>
      <x:c r="K123" s="249" t="n">
        <x:f>G123*I123/100000000</x:f>
        <x:v>14.447384985599998</x:v>
      </x:c>
      <x:c r="L123" s="249" t="n">
        <x:f>K123*J123</x:f>
        <x:v>9.390800240639999</x:v>
      </x:c>
      <x:c r="M123" s="249" t="n">
        <x:f>L123*'机会输入'!I4</x:f>
        <x:v>3.0989640794112</x:v>
      </x:c>
      <x:c r="N123" s="245"/>
    </x:row>
    <x:row r="124">
      <x:c r="A124" s="240" t="str">
        <x:v>2030E</x:v>
      </x:c>
      <x:c r="B124" s="240" t="str">
        <x:v>FAU V型槽</x:v>
      </x:c>
      <x:c r="C124" s="240" t="str">
        <x:v>204.8T</x:v>
      </x:c>
      <x:c r="D124" s="248" t="n">
        <x:f>'机会输入'!I16*MAX(0,'机会输入'!$B$36)*MAX(0,MIN(1,'规格输入'!I6))</x:f>
        <x:v>96</x:v>
      </x:c>
      <x:c r="E124" s="248" t="n">
        <x:f>'机会输入'!I17*'规格输入'!$E$9</x:f>
        <x:v>2304</x:v>
      </x:c>
      <x:c r="F124" s="249" t="str">
        <x:v>通道</x:v>
      </x:c>
      <x:c r="G124" s="242" t="n">
        <x:f>D124*10000*E124</x:f>
        <x:v>2211840000</x:v>
      </x:c>
      <x:c r="H124" s="249" t="n">
        <x:f>('机会输入'!I19)*MAX(0,'机会输入'!$C$36)</x:f>
        <x:v>11.2</x:v>
      </x:c>
      <x:c r="I124" s="249" t="n">
        <x:f>H124*MAX(0,'机会输入'!I5)</x:f>
        <x:v>6.53184</x:v>
      </x:c>
      <x:c r="J124" s="250" t="n">
        <x:f>MAX(0,MIN(1,MAX(0,MIN(1,'机会输入'!I20+'规格输入'!$E$8))*MAX(0,'机会输入'!$H$36)))</x:f>
        <x:v>0.7000000000000001</x:v>
      </x:c>
      <x:c r="K124" s="249" t="n">
        <x:f>G124*I124/100000000</x:f>
        <x:v>144.47384985600002</x:v>
      </x:c>
      <x:c r="L124" s="249" t="n">
        <x:f>K124*J124</x:f>
        <x:v>101.13169489920001</x:v>
      </x:c>
      <x:c r="M124" s="249" t="n">
        <x:f>L124*'机会输入'!I4</x:f>
        <x:v>33.373459316736</x:v>
      </x:c>
      <x:c r="N124" s="245"/>
    </x:row>
    <x:row r="125">
      <x:c r="A125" s="240" t="str">
        <x:v>2030E</x:v>
      </x:c>
      <x:c r="B125" s="240" t="str">
        <x:v>FAU棱镜透镜阵列</x:v>
      </x:c>
      <x:c r="C125" s="240" t="str">
        <x:v>102.4T</x:v>
      </x:c>
      <x:c r="D125" s="248" t="n">
        <x:f>'机会输入'!I16*MAX(0,'机会输入'!$B$36)*(1-MAX(0,MIN(1,'规格输入'!I6)))</x:f>
        <x:v>23.999999999999993</x:v>
      </x:c>
      <x:c r="E125" s="248" t="n">
        <x:f>'机会输入'!I21*'机会输入'!I22</x:f>
        <x:v>1152</x:v>
      </x:c>
      <x:c r="F125" s="249" t="str">
        <x:v>通道</x:v>
      </x:c>
      <x:c r="G125" s="242" t="n">
        <x:f>D125*10000*E125</x:f>
        <x:v>276479999.99999994</x:v>
      </x:c>
      <x:c r="H125" s="249" t="n">
        <x:f>('机会输入'!I23)*MAX(0,'机会输入'!$C$36)*'规格输入'!$E$7</x:f>
        <x:v>12.8</x:v>
      </x:c>
      <x:c r="I125" s="249" t="n">
        <x:f>H125*MAX(0,'机会输入'!I5)</x:f>
        <x:v>7.464960000000001</x:v>
      </x:c>
      <x:c r="J125" s="250" t="n">
        <x:f>'机会输入'!I24</x:f>
        <x:v>0.45</x:v>
      </x:c>
      <x:c r="K125" s="249" t="n">
        <x:f>G125*I125/100000000</x:f>
        <x:v>20.639121408</x:v>
      </x:c>
      <x:c r="L125" s="249" t="n">
        <x:f>K125*J125</x:f>
        <x:v>9.2876046336</x:v>
      </x:c>
      <x:c r="M125" s="249" t="n">
        <x:f>L125*'机会输入'!I4</x:f>
        <x:v>3.0649095290880006</x:v>
      </x:c>
      <x:c r="N125" s="245"/>
    </x:row>
    <x:row r="126">
      <x:c r="A126" s="240" t="str">
        <x:v>2030E</x:v>
      </x:c>
      <x:c r="B126" s="240" t="str">
        <x:v>FAU棱镜透镜阵列</x:v>
      </x:c>
      <x:c r="C126" s="240" t="str">
        <x:v>204.8T</x:v>
      </x:c>
      <x:c r="D126" s="248" t="n">
        <x:f>'机会输入'!I16*MAX(0,'机会输入'!$B$36)*MAX(0,MIN(1,'规格输入'!I6))</x:f>
        <x:v>96</x:v>
      </x:c>
      <x:c r="E126" s="248" t="n">
        <x:f>'机会输入'!I21*'规格输入'!$E$9</x:f>
        <x:v>2304</x:v>
      </x:c>
      <x:c r="F126" s="249" t="str">
        <x:v>通道</x:v>
      </x:c>
      <x:c r="G126" s="242" t="n">
        <x:f>D126*10000*E126</x:f>
        <x:v>2211840000</x:v>
      </x:c>
      <x:c r="H126" s="249" t="n">
        <x:f>('机会输入'!I23)*MAX(0,'机会输入'!$C$36)</x:f>
        <x:v>16</x:v>
      </x:c>
      <x:c r="I126" s="249" t="n">
        <x:f>H126*MAX(0,'机会输入'!I5)</x:f>
        <x:v>9.3312</x:v>
      </x:c>
      <x:c r="J126" s="250" t="n">
        <x:f>'机会输入'!I24</x:f>
        <x:v>0.45</x:v>
      </x:c>
      <x:c r="K126" s="249" t="n">
        <x:f>G126*I126/100000000</x:f>
        <x:v>206.39121408</x:v>
      </x:c>
      <x:c r="L126" s="249" t="n">
        <x:f>K126*J126</x:f>
        <x:v>92.876046336</x:v>
      </x:c>
      <x:c r="M126" s="249" t="n">
        <x:f>L126*'机会输入'!I4</x:f>
        <x:v>30.649095290880002</x:v>
      </x:c>
      <x:c r="N126" s="245"/>
    </x:row>
    <x:row r="127">
      <x:c r="A127" s="240" t="str">
        <x:v>2030E</x:v>
      </x:c>
      <x:c r="B127" s="240" t="str">
        <x:v>ELS透镜＋热沉</x:v>
      </x:c>
      <x:c r="C127" s="240" t="str">
        <x:v>102.4T</x:v>
      </x:c>
      <x:c r="D127" s="248" t="n">
        <x:f>'机会输入'!I16*MAX(0,'机会输入'!$B$36)*(1-MAX(0,MIN(1,'规格输入'!I6)))</x:f>
        <x:v>23.999999999999993</x:v>
      </x:c>
      <x:c r="E127" s="248" t="n">
        <x:f>'机会输入'!I25</x:f>
        <x:v>128</x:v>
      </x:c>
      <x:c r="F127" s="249" t="str">
        <x:v>套光源配套</x:v>
      </x:c>
      <x:c r="G127" s="242" t="n">
        <x:f>D127*10000*E127</x:f>
        <x:v>30719999.999999993</x:v>
      </x:c>
      <x:c r="H127" s="249" t="n">
        <x:f>('机会输入'!I26+'机会输入'!I27)*MAX(0,'机会输入'!$C$36)*'规格输入'!$E$7</x:f>
        <x:v>64</x:v>
      </x:c>
      <x:c r="I127" s="249" t="n">
        <x:f>H127*MAX(0,'机会输入'!I5)</x:f>
        <x:v>37.3248</x:v>
      </x:c>
      <x:c r="J127" s="250" t="n">
        <x:f>MAX(0,MIN(1,MAX(0,MIN(1,'机会输入'!I28))*MAX(0,'机会输入'!$H$36)))</x:f>
        <x:v>0.4</x:v>
      </x:c>
      <x:c r="K127" s="249" t="n">
        <x:f>G127*I127/100000000</x:f>
        <x:v>11.466178559999998</x:v>
      </x:c>
      <x:c r="L127" s="249" t="n">
        <x:f>K127*J127</x:f>
        <x:v>4.586471423999999</x:v>
      </x:c>
      <x:c r="M127" s="249" t="n">
        <x:f>L127*'机会输入'!I4</x:f>
        <x:v>1.5135355699199997</x:v>
      </x:c>
      <x:c r="N127" s="245"/>
    </x:row>
    <x:row r="128">
      <x:c r="A128" s="240" t="str">
        <x:v>2030E</x:v>
      </x:c>
      <x:c r="B128" s="240" t="str">
        <x:v>ELS透镜＋热沉</x:v>
      </x:c>
      <x:c r="C128" s="240" t="str">
        <x:v>204.8T</x:v>
      </x:c>
      <x:c r="D128" s="248" t="n">
        <x:f>'机会输入'!I16*MAX(0,'机会输入'!$B$36)*MAX(0,MIN(1,'规格输入'!I6))</x:f>
        <x:v>96</x:v>
      </x:c>
      <x:c r="E128" s="248" t="n">
        <x:f>'机会输入'!I25</x:f>
        <x:v>128</x:v>
      </x:c>
      <x:c r="F128" s="249" t="str">
        <x:v>套光源配套</x:v>
      </x:c>
      <x:c r="G128" s="242" t="n">
        <x:f>D128*10000*E128</x:f>
        <x:v>122880000</x:v>
      </x:c>
      <x:c r="H128" s="249" t="n">
        <x:f>('机会输入'!I26+'机会输入'!I27)*MAX(0,'机会输入'!$C$36)</x:f>
        <x:v>80</x:v>
      </x:c>
      <x:c r="I128" s="249" t="n">
        <x:f>H128*MAX(0,'机会输入'!I5)</x:f>
        <x:v>46.656000000000006</x:v>
      </x:c>
      <x:c r="J128" s="250" t="n">
        <x:f>MAX(0,MIN(1,MAX(0,MIN(1,'机会输入'!I28+'规格输入'!$E$8))*MAX(0,'机会输入'!$H$36)))</x:f>
        <x:v>0.45</x:v>
      </x:c>
      <x:c r="K128" s="249" t="n">
        <x:f>G128*I128/100000000</x:f>
        <x:v>57.33089280000001</x:v>
      </x:c>
      <x:c r="L128" s="249" t="n">
        <x:f>K128*J128</x:f>
        <x:v>25.798901760000003</x:v>
      </x:c>
      <x:c r="M128" s="249" t="n">
        <x:f>L128*'机会输入'!I4</x:f>
        <x:v>8.513637580800001</x:v>
      </x:c>
      <x:c r="N128" s="245"/>
    </x:row>
    <x:row r="129">
      <x:c r="A129" s="240" t="str">
        <x:v>2030E</x:v>
      </x:c>
      <x:c r="B129" s="240" t="str">
        <x:v>FAU关键尺寸量测设备</x:v>
      </x:c>
      <x:c r="C129" s="240" t="str">
        <x:v>102.4T</x:v>
      </x:c>
      <x:c r="D129" s="248" t="n">
        <x:f>'机会输入'!I16*MAX(0,'机会输入'!$B$36)*(1-MAX(0,MIN(1,'规格输入'!I6)))</x:f>
        <x:v>23.999999999999993</x:v>
      </x:c>
      <x:c r="E129" s="248" t="n">
        <x:f>'机会输入'!I17/'规格输入'!$E$10</x:f>
        <x:v>0.032</x:v>
      </x:c>
      <x:c r="F129" s="249" t="str">
        <x:v>台设备</x:v>
      </x:c>
      <x:c r="G129" s="242" t="n">
        <x:f>D129*10000*E129</x:f>
        <x:v>7679.999999999998</x:v>
      </x:c>
      <x:c r="H129" s="249" t="n">
        <x:f>('机会输入'!I30)*MAX(0,'机会输入'!$C$36)*'规格输入'!$E$7</x:f>
        <x:v>64000</x:v>
      </x:c>
      <x:c r="I129" s="249" t="n">
        <x:f>H129</x:f>
        <x:v>64000</x:v>
      </x:c>
      <x:c r="J129" s="250" t="n">
        <x:f>MAX(0,MIN(1,MAX(0,MIN(1,'机会输入'!I31))*MAX(0,'机会输入'!$H$36)))</x:f>
        <x:v>0.55</x:v>
      </x:c>
      <x:c r="K129" s="249" t="n">
        <x:f>G129*I129/100000000</x:f>
        <x:v>4.915199999999999</x:v>
      </x:c>
      <x:c r="L129" s="249" t="n">
        <x:f>K129*J129</x:f>
        <x:v>2.7033599999999995</x:v>
      </x:c>
      <x:c r="M129" s="249" t="n">
        <x:f>L129*'机会输入'!I4</x:f>
        <x:v>0.8921087999999999</x:v>
      </x:c>
      <x:c r="N129" s="245"/>
    </x:row>
    <x:row r="130">
      <x:c r="A130" s="240" t="str">
        <x:v>2030E</x:v>
      </x:c>
      <x:c r="B130" s="240" t="str">
        <x:v>FAU关键尺寸量测设备</x:v>
      </x:c>
      <x:c r="C130" s="240" t="str">
        <x:v>204.8T</x:v>
      </x:c>
      <x:c r="D130" s="248" t="n">
        <x:f>'机会输入'!I16*MAX(0,'机会输入'!$B$36)*MAX(0,MIN(1,'规格输入'!I6))</x:f>
        <x:v>96</x:v>
      </x:c>
      <x:c r="E130" s="248" t="n">
        <x:f>'机会输入'!I17/'规格输入'!$E$10</x:f>
        <x:v>0.032</x:v>
      </x:c>
      <x:c r="F130" s="249" t="str">
        <x:v>台设备</x:v>
      </x:c>
      <x:c r="G130" s="242" t="n">
        <x:f>D130*10000*E130</x:f>
        <x:v>30720</x:v>
      </x:c>
      <x:c r="H130" s="249" t="n">
        <x:f>('机会输入'!I30)*MAX(0,'机会输入'!$C$36)</x:f>
        <x:v>80000</x:v>
      </x:c>
      <x:c r="I130" s="249" t="n">
        <x:f>H130</x:f>
        <x:v>80000</x:v>
      </x:c>
      <x:c r="J130" s="250" t="n">
        <x:f>MAX(0,MIN(1,MAX(0,MIN(1,'机会输入'!I31+'规格输入'!$E$8))*MAX(0,'机会输入'!$H$36)))</x:f>
        <x:v>0.6000000000000001</x:v>
      </x:c>
      <x:c r="K130" s="249" t="n">
        <x:f>G130*I130/100000000</x:f>
        <x:v>24.576</x:v>
      </x:c>
      <x:c r="L130" s="249" t="n">
        <x:f>K130*J130</x:f>
        <x:v>14.745600000000003</x:v>
      </x:c>
      <x:c r="M130" s="249" t="n">
        <x:f>L130*'机会输入'!I4</x:f>
        <x:v>4.866048000000001</x:v>
      </x:c>
      <x:c r="N130" s="245"/>
    </x:row>
    <x:row r="131">
      <x:c r="A131" s="245"/>
      <x:c r="B131" s="245"/>
      <x:c r="C131" s="245"/>
      <x:c r="D131" s="245"/>
      <x:c r="E131" s="245"/>
      <x:c r="F131" s="245"/>
      <x:c r="G131" s="245"/>
      <x:c r="H131" s="245"/>
      <x:c r="I131" s="245"/>
      <x:c r="J131" s="245"/>
      <x:c r="K131" s="245"/>
      <x:c r="L131" s="245"/>
      <x:c r="M131" s="245"/>
      <x:c r="N131" s="245"/>
    </x:row>
    <x:row r="132">
      <x:c r="A132" s="245"/>
      <x:c r="B132" s="245"/>
      <x:c r="C132" s="245"/>
      <x:c r="D132" s="245"/>
      <x:c r="E132" s="245"/>
      <x:c r="F132" s="245"/>
      <x:c r="G132" s="245"/>
      <x:c r="H132" s="245"/>
      <x:c r="I132" s="245"/>
      <x:c r="J132" s="245"/>
      <x:c r="K132" s="245"/>
      <x:c r="L132" s="245"/>
      <x:c r="M132" s="245"/>
      <x:c r="N132" s="245"/>
    </x:row>
    <x:row r="133">
      <x:c r="A133" s="245"/>
      <x:c r="B133" s="245"/>
      <x:c r="C133" s="245"/>
      <x:c r="D133" s="245"/>
      <x:c r="E133" s="245"/>
      <x:c r="F133" s="245"/>
      <x:c r="G133" s="245"/>
      <x:c r="H133" s="245"/>
      <x:c r="I133" s="245"/>
      <x:c r="J133" s="245"/>
      <x:c r="K133" s="245"/>
      <x:c r="L133" s="245"/>
      <x:c r="M133" s="245"/>
      <x:c r="N133" s="245"/>
    </x:row>
    <x:row r="134">
      <x:c r="A134" s="176" t="str">
        <x:v>乐观情形</x:v>
      </x:c>
      <x:c r="B134" s="176"/>
      <x:c r="C134" s="176"/>
      <x:c r="D134" s="176"/>
      <x:c r="E134" s="176"/>
      <x:c r="F134" s="176"/>
      <x:c r="G134" s="176"/>
      <x:c r="H134" s="176"/>
      <x:c r="I134" s="176"/>
      <x:c r="J134" s="176"/>
      <x:c r="K134" s="176"/>
      <x:c r="L134" s="176"/>
      <x:c r="M134" s="176"/>
      <x:c r="N134" s="245"/>
    </x:row>
    <x:row r="135">
      <x:c r="A135" s="176" t="str">
        <x:v>年度</x:v>
      </x:c>
      <x:c r="B135" s="176" t="str">
        <x:v>产品线</x:v>
      </x:c>
      <x:c r="C135" s="176" t="str">
        <x:v>规格</x:v>
      </x:c>
      <x:c r="D135" s="176" t="str">
        <x:v>出货量（万台/万只）</x:v>
      </x:c>
      <x:c r="E135" s="176" t="str">
        <x:v>单位用量</x:v>
      </x:c>
      <x:c r="F135" s="176" t="str">
        <x:v>基本单位</x:v>
      </x:c>
      <x:c r="G135" s="176" t="str">
        <x:v>组件总量</x:v>
      </x:c>
      <x:c r="H135" s="176" t="str">
        <x:v>初始单价</x:v>
      </x:c>
      <x:c r="I135" s="176" t="str">
        <x:v>有效单价</x:v>
      </x:c>
      <x:c r="J135" s="176" t="str">
        <x:v>公司份额</x:v>
      </x:c>
      <x:c r="K135" s="176" t="str">
        <x:v>行业空间（亿元）</x:v>
      </x:c>
      <x:c r="L135" s="176" t="str">
        <x:v>理论收入（亿元）</x:v>
      </x:c>
      <x:c r="M135" s="176" t="str">
        <x:v>产品净利润（亿元）</x:v>
      </x:c>
      <x:c r="N135" s="245"/>
    </x:row>
    <x:row r="136">
      <x:c r="A136" s="240" t="str">
        <x:v>2026E</x:v>
      </x:c>
      <x:c r="B136" s="240" t="str">
        <x:v>800G可插拔透镜</x:v>
      </x:c>
      <x:c r="C136" s="240" t="str">
        <x:v>800G</x:v>
      </x:c>
      <x:c r="D136" s="248" t="n">
        <x:f>'机会输入'!E7*MAX(0,'机会输入'!$B$37)*1</x:f>
        <x:v>5600</x:v>
      </x:c>
      <x:c r="E136" s="248" t="n">
        <x:f>'机会输入'!E6</x:f>
        <x:v>10</x:v>
      </x:c>
      <x:c r="F136" s="249" t="str">
        <x:v>只透镜</x:v>
      </x:c>
      <x:c r="G136" s="242" t="n">
        <x:f>D136*10000*E136</x:f>
        <x:v>560000000</x:v>
      </x:c>
      <x:c r="H136" s="249" t="n">
        <x:f>('机会输入'!E8)*MAX(0,'机会输入'!$C$37)</x:f>
        <x:v>4.4</x:v>
      </x:c>
      <x:c r="I136" s="249" t="n">
        <x:f>H136*MAX(0,'机会输入'!E32)</x:f>
        <x:v>4.4</x:v>
      </x:c>
      <x:c r="J136" s="250" t="n">
        <x:f>MAX(0,MIN(1,MAX(0,MIN(1,'机会输入'!E11))*MAX(0,'机会输入'!$D$37)))</x:f>
        <x:v>0.045</x:v>
      </x:c>
      <x:c r="K136" s="249" t="n">
        <x:f>G136*I136/100000000</x:f>
        <x:v>24.64</x:v>
      </x:c>
      <x:c r="L136" s="249" t="n">
        <x:f>K136*J136</x:f>
        <x:v>1.1088</x:v>
      </x:c>
      <x:c r="M136" s="249" t="n">
        <x:f>L136*'机会输入'!E4</x:f>
        <x:v>0.365904</x:v>
      </x:c>
      <x:c r="N136" s="245"/>
    </x:row>
    <x:row r="137">
      <x:c r="A137" s="240" t="str">
        <x:v>2026E</x:v>
      </x:c>
      <x:c r="B137" s="240" t="str">
        <x:v>1.6T可插拔透镜</x:v>
      </x:c>
      <x:c r="C137" s="240" t="str">
        <x:v>1.6T</x:v>
      </x:c>
      <x:c r="D137" s="248" t="n">
        <x:f>'机会输入'!E9*MAX(0,'机会输入'!$B$37)*1</x:f>
        <x:v>1880</x:v>
      </x:c>
      <x:c r="E137" s="248" t="n">
        <x:f>'机会输入'!E6</x:f>
        <x:v>10</x:v>
      </x:c>
      <x:c r="F137" s="249" t="str">
        <x:v>只透镜</x:v>
      </x:c>
      <x:c r="G137" s="242" t="n">
        <x:f>D137*10000*E137</x:f>
        <x:v>188000000</x:v>
      </x:c>
      <x:c r="H137" s="249" t="n">
        <x:f>('机会输入'!E10)*MAX(0,'机会输入'!$C$37)</x:f>
        <x:v>6.16</x:v>
      </x:c>
      <x:c r="I137" s="249" t="n">
        <x:f>H137*MAX(0,'机会输入'!E32)</x:f>
        <x:v>6.16</x:v>
      </x:c>
      <x:c r="J137" s="250" t="n">
        <x:f>MAX(0,MIN(1,MAX(0,MIN(1,'机会输入'!E11))*MAX(0,'机会输入'!$D$37)))</x:f>
        <x:v>0.045</x:v>
      </x:c>
      <x:c r="K137" s="249" t="n">
        <x:f>G137*I137/100000000</x:f>
        <x:v>11.5808</x:v>
      </x:c>
      <x:c r="L137" s="249" t="n">
        <x:f>K137*J137</x:f>
        <x:v>0.5211359999999999</x:v>
      </x:c>
      <x:c r="M137" s="249" t="n">
        <x:f>L137*'机会输入'!E4</x:f>
        <x:v>0.17197488</x:v>
      </x:c>
      <x:c r="N137" s="245"/>
    </x:row>
    <x:row r="138">
      <x:c r="A138" s="240" t="str">
        <x:v>2026E</x:v>
      </x:c>
      <x:c r="B138" s="240" t="str">
        <x:v>OCS NxN透镜阵列</x:v>
      </x:c>
      <x:c r="C138" s="240" t="str">
        <x:v>小端口参考系统</x:v>
      </x:c>
      <x:c r="D138" s="248" t="n">
        <x:f>'机会输入'!E12*MAX(0,'机会输入'!$B$37)*(1-MAX(0,MIN(1,'规格输入'!E5)))</x:f>
        <x:v>1.5</x:v>
      </x:c>
      <x:c r="E138" s="248" t="n">
        <x:f>'规格输入'!$E$4</x:f>
        <x:v>256</x:v>
      </x:c>
      <x:c r="F138" s="249" t="str">
        <x:v>总光通道</x:v>
      </x:c>
      <x:c r="G138" s="242" t="n">
        <x:f>D138*10000*E138</x:f>
        <x:v>3840000</x:v>
      </x:c>
      <x:c r="H138" s="249" t="n">
        <x:f>'规格输入'!$M$7</x:f>
        <x:v>25</x:v>
      </x:c>
      <x:c r="I138" s="249" t="n">
        <x:f>H138*MAX(0,'机会输入'!E5)</x:f>
        <x:v>25</x:v>
      </x:c>
      <x:c r="J138" s="250" t="n">
        <x:f>MAX(0,MIN(1,MAX(0,MIN(1,'机会输入'!E15))*MAX(0,'机会输入'!$D$37)))</x:f>
        <x:v>1</x:v>
      </x:c>
      <x:c r="K138" s="249" t="n">
        <x:f>G138*I138/100000000</x:f>
        <x:v>0.96</x:v>
      </x:c>
      <x:c r="L138" s="249" t="n">
        <x:f>K138*J138</x:f>
        <x:v>0.96</x:v>
      </x:c>
      <x:c r="M138" s="249" t="n">
        <x:f>L138*'机会输入'!E4</x:f>
        <x:v>0.3168</x:v>
      </x:c>
      <x:c r="N138" s="245"/>
    </x:row>
    <x:row r="139">
      <x:c r="A139" s="240" t="str">
        <x:v>2026E</x:v>
      </x:c>
      <x:c r="B139" s="240" t="str">
        <x:v>OCS NxN透镜阵列</x:v>
      </x:c>
      <x:c r="C139" s="240" t="str">
        <x:v>大端口320×320</x:v>
      </x:c>
      <x:c r="D139" s="248" t="n">
        <x:f>'机会输入'!E12*MAX(0,'机会输入'!$B$37)*MAX(0,MIN(1,'规格输入'!E5))</x:f>
        <x:v>0.5</x:v>
      </x:c>
      <x:c r="E139" s="248" t="n">
        <x:f>'机会输入'!E13</x:f>
        <x:v>640</x:v>
      </x:c>
      <x:c r="F139" s="249" t="str">
        <x:v>总光通道</x:v>
      </x:c>
      <x:c r="G139" s="242" t="n">
        <x:f>D139*10000*E139</x:f>
        <x:v>3200000</x:v>
      </x:c>
      <x:c r="H139" s="249" t="n">
        <x:f>'机会输入'!$I$37</x:f>
        <x:v>50</x:v>
      </x:c>
      <x:c r="I139" s="249" t="n">
        <x:f>H139*MAX(0,'机会输入'!E5)</x:f>
        <x:v>50</x:v>
      </x:c>
      <x:c r="J139" s="250" t="n">
        <x:f>MAX(0,MIN(1,MAX(0,MIN(1,'机会输入'!E15+'规格输入'!$E$8))*MAX(0,'机会输入'!$D$37)))</x:f>
        <x:v>1</x:v>
      </x:c>
      <x:c r="K139" s="249" t="n">
        <x:f>G139*I139/100000000</x:f>
        <x:v>1.6</x:v>
      </x:c>
      <x:c r="L139" s="249" t="n">
        <x:f>K139*J139</x:f>
        <x:v>1.6</x:v>
      </x:c>
      <x:c r="M139" s="249" t="n">
        <x:f>L139*'机会输入'!E4</x:f>
        <x:v>0.528</x:v>
      </x:c>
      <x:c r="N139" s="245"/>
    </x:row>
    <x:row r="140">
      <x:c r="A140" s="240" t="str">
        <x:v>2026E</x:v>
      </x:c>
      <x:c r="B140" s="240" t="str">
        <x:v>FAU V型槽</x:v>
      </x:c>
      <x:c r="C140" s="240" t="str">
        <x:v>102.4T</x:v>
      </x:c>
      <x:c r="D140" s="248" t="n">
        <x:f>'机会输入'!E16*MAX(0,'机会输入'!$B$37)*(1-MAX(0,MIN(1,'规格输入'!E6)))</x:f>
        <x:v>2</x:v>
      </x:c>
      <x:c r="E140" s="248" t="n">
        <x:f>'机会输入'!E17*'机会输入'!E18</x:f>
        <x:v>1152</x:v>
      </x:c>
      <x:c r="F140" s="249" t="str">
        <x:v>通道</x:v>
      </x:c>
      <x:c r="G140" s="242" t="n">
        <x:f>D140*10000*E140</x:f>
        <x:v>23040000</x:v>
      </x:c>
      <x:c r="H140" s="249" t="n">
        <x:f>('机会输入'!E19)*MAX(0,'机会输入'!$C$37)*'规格输入'!$E$7</x:f>
        <x:v>9.856000000000002</x:v>
      </x:c>
      <x:c r="I140" s="249" t="n">
        <x:f>H140*MAX(0,'机会输入'!E5)</x:f>
        <x:v>9.856000000000002</x:v>
      </x:c>
      <x:c r="J140" s="250" t="n">
        <x:f>MAX(0,MIN(1,MAX(0,MIN(1,'机会输入'!E20))*MAX(0,'机会输入'!$D$37)))</x:f>
        <x:v>0.50625</x:v>
      </x:c>
      <x:c r="K140" s="249" t="n">
        <x:f>G140*I140/100000000</x:f>
        <x:v>2.2708224</x:v>
      </x:c>
      <x:c r="L140" s="249" t="n">
        <x:f>K140*J140</x:f>
        <x:v>1.14960384</x:v>
      </x:c>
      <x:c r="M140" s="249" t="n">
        <x:f>L140*'机会输入'!E4</x:f>
        <x:v>0.37936926719999997</x:v>
      </x:c>
      <x:c r="N140" s="245"/>
    </x:row>
    <x:row r="141">
      <x:c r="A141" s="240" t="str">
        <x:v>2026E</x:v>
      </x:c>
      <x:c r="B141" s="240" t="str">
        <x:v>FAU V型槽</x:v>
      </x:c>
      <x:c r="C141" s="240" t="str">
        <x:v>204.8T</x:v>
      </x:c>
      <x:c r="D141" s="248" t="n">
        <x:f>'机会输入'!E16*MAX(0,'机会输入'!$B$37)*MAX(0,MIN(1,'规格输入'!E6))</x:f>
        <x:v>0</x:v>
      </x:c>
      <x:c r="E141" s="248" t="n">
        <x:f>'机会输入'!E17*'规格输入'!$E$9</x:f>
        <x:v>2304</x:v>
      </x:c>
      <x:c r="F141" s="249" t="str">
        <x:v>通道</x:v>
      </x:c>
      <x:c r="G141" s="242" t="n">
        <x:f>D141*10000*E141</x:f>
        <x:v>0</x:v>
      </x:c>
      <x:c r="H141" s="249" t="n">
        <x:f>('机会输入'!E19)*MAX(0,'机会输入'!$C$37)</x:f>
        <x:v>12.32</x:v>
      </x:c>
      <x:c r="I141" s="249" t="n">
        <x:f>H141*MAX(0,'机会输入'!E5)</x:f>
        <x:v>12.32</x:v>
      </x:c>
      <x:c r="J141" s="250" t="n">
        <x:f>MAX(0,MIN(1,MAX(0,MIN(1,'机会输入'!E20+'规格输入'!$E$8))*MAX(0,'机会输入'!$D$37)))</x:f>
        <x:v>0.5625</x:v>
      </x:c>
      <x:c r="K141" s="249" t="n">
        <x:f>G141*I141/100000000</x:f>
        <x:v>0</x:v>
      </x:c>
      <x:c r="L141" s="249" t="n">
        <x:f>K141*J141</x:f>
        <x:v>0</x:v>
      </x:c>
      <x:c r="M141" s="249" t="n">
        <x:f>L141*'机会输入'!E4</x:f>
        <x:v>0</x:v>
      </x:c>
      <x:c r="N141" s="245"/>
    </x:row>
    <x:row r="142">
      <x:c r="A142" s="240" t="str">
        <x:v>2026E</x:v>
      </x:c>
      <x:c r="B142" s="240" t="str">
        <x:v>FAU棱镜透镜阵列</x:v>
      </x:c>
      <x:c r="C142" s="240" t="str">
        <x:v>102.4T</x:v>
      </x:c>
      <x:c r="D142" s="248" t="n">
        <x:f>'机会输入'!E16*MAX(0,'机会输入'!$B$37)*(1-MAX(0,MIN(1,'规格输入'!E6)))</x:f>
        <x:v>2</x:v>
      </x:c>
      <x:c r="E142" s="248" t="n">
        <x:f>'机会输入'!E21*'机会输入'!E22</x:f>
        <x:v>1152</x:v>
      </x:c>
      <x:c r="F142" s="249" t="str">
        <x:v>通道</x:v>
      </x:c>
      <x:c r="G142" s="242" t="n">
        <x:f>D142*10000*E142</x:f>
        <x:v>23040000</x:v>
      </x:c>
      <x:c r="H142" s="249" t="n">
        <x:f>('机会输入'!E23)*MAX(0,'机会输入'!$C$37)*'规格输入'!$E$7</x:f>
        <x:v>14.080000000000002</x:v>
      </x:c>
      <x:c r="I142" s="249" t="n">
        <x:f>H142*MAX(0,'机会输入'!E5)</x:f>
        <x:v>14.080000000000002</x:v>
      </x:c>
      <x:c r="J142" s="250" t="n">
        <x:f>'机会输入'!E24</x:f>
        <x:v>0.45</x:v>
      </x:c>
      <x:c r="K142" s="249" t="n">
        <x:f>G142*I142/100000000</x:f>
        <x:v>3.2440320000000007</x:v>
      </x:c>
      <x:c r="L142" s="249" t="n">
        <x:f>K142*J142</x:f>
        <x:v>1.4598144000000004</x:v>
      </x:c>
      <x:c r="M142" s="249" t="n">
        <x:f>L142*'机会输入'!E4</x:f>
        <x:v>0.48173875200000016</x:v>
      </x:c>
      <x:c r="N142" s="245"/>
    </x:row>
    <x:row r="143">
      <x:c r="A143" s="240" t="str">
        <x:v>2026E</x:v>
      </x:c>
      <x:c r="B143" s="240" t="str">
        <x:v>FAU棱镜透镜阵列</x:v>
      </x:c>
      <x:c r="C143" s="240" t="str">
        <x:v>204.8T</x:v>
      </x:c>
      <x:c r="D143" s="248" t="n">
        <x:f>'机会输入'!E16*MAX(0,'机会输入'!$B$37)*MAX(0,MIN(1,'规格输入'!E6))</x:f>
        <x:v>0</x:v>
      </x:c>
      <x:c r="E143" s="248" t="n">
        <x:f>'机会输入'!E21*'规格输入'!$E$9</x:f>
        <x:v>2304</x:v>
      </x:c>
      <x:c r="F143" s="249" t="str">
        <x:v>通道</x:v>
      </x:c>
      <x:c r="G143" s="242" t="n">
        <x:f>D143*10000*E143</x:f>
        <x:v>0</x:v>
      </x:c>
      <x:c r="H143" s="249" t="n">
        <x:f>('机会输入'!E23)*MAX(0,'机会输入'!$C$37)</x:f>
        <x:v>17.6</x:v>
      </x:c>
      <x:c r="I143" s="249" t="n">
        <x:f>H143*MAX(0,'机会输入'!E5)</x:f>
        <x:v>17.6</x:v>
      </x:c>
      <x:c r="J143" s="250" t="n">
        <x:f>'机会输入'!E24</x:f>
        <x:v>0.45</x:v>
      </x:c>
      <x:c r="K143" s="249" t="n">
        <x:f>G143*I143/100000000</x:f>
        <x:v>0</x:v>
      </x:c>
      <x:c r="L143" s="249" t="n">
        <x:f>K143*J143</x:f>
        <x:v>0</x:v>
      </x:c>
      <x:c r="M143" s="249" t="n">
        <x:f>L143*'机会输入'!E4</x:f>
        <x:v>0</x:v>
      </x:c>
      <x:c r="N143" s="245"/>
    </x:row>
    <x:row r="144">
      <x:c r="A144" s="240" t="str">
        <x:v>2026E</x:v>
      </x:c>
      <x:c r="B144" s="240" t="str">
        <x:v>ELS透镜＋热沉</x:v>
      </x:c>
      <x:c r="C144" s="240" t="str">
        <x:v>102.4T</x:v>
      </x:c>
      <x:c r="D144" s="248" t="n">
        <x:f>'机会输入'!E16*MAX(0,'机会输入'!$B$37)*(1-MAX(0,MIN(1,'规格输入'!E6)))</x:f>
        <x:v>2</x:v>
      </x:c>
      <x:c r="E144" s="248" t="n">
        <x:f>'机会输入'!E25</x:f>
        <x:v>128</x:v>
      </x:c>
      <x:c r="F144" s="249" t="str">
        <x:v>套光源配套</x:v>
      </x:c>
      <x:c r="G144" s="242" t="n">
        <x:f>D144*10000*E144</x:f>
        <x:v>2560000</x:v>
      </x:c>
      <x:c r="H144" s="249" t="n">
        <x:f>('机会输入'!E26+'机会输入'!E27)*MAX(0,'机会输入'!$C$37)*'规格输入'!$E$7</x:f>
        <x:v>70.4</x:v>
      </x:c>
      <x:c r="I144" s="249" t="n">
        <x:f>H144*MAX(0,'机会输入'!E5)</x:f>
        <x:v>70.4</x:v>
      </x:c>
      <x:c r="J144" s="250" t="n">
        <x:f>MAX(0,MIN(1,MAX(0,MIN(1,'机会输入'!E28))*MAX(0,'机会输入'!$D$37)))</x:f>
        <x:v>0.50625</x:v>
      </x:c>
      <x:c r="K144" s="249" t="n">
        <x:f>G144*I144/100000000</x:f>
        <x:v>1.80224</x:v>
      </x:c>
      <x:c r="L144" s="249" t="n">
        <x:f>K144*J144</x:f>
        <x:v>0.912384</x:v>
      </x:c>
      <x:c r="M144" s="249" t="n">
        <x:f>L144*'机会输入'!E4</x:f>
        <x:v>0.30108672000000003</x:v>
      </x:c>
      <x:c r="N144" s="245"/>
    </x:row>
    <x:row r="145">
      <x:c r="A145" s="240" t="str">
        <x:v>2026E</x:v>
      </x:c>
      <x:c r="B145" s="240" t="str">
        <x:v>ELS透镜＋热沉</x:v>
      </x:c>
      <x:c r="C145" s="240" t="str">
        <x:v>204.8T</x:v>
      </x:c>
      <x:c r="D145" s="248" t="n">
        <x:f>'机会输入'!E16*MAX(0,'机会输入'!$B$37)*MAX(0,MIN(1,'规格输入'!E6))</x:f>
        <x:v>0</x:v>
      </x:c>
      <x:c r="E145" s="248" t="n">
        <x:f>'机会输入'!E25</x:f>
        <x:v>128</x:v>
      </x:c>
      <x:c r="F145" s="249" t="str">
        <x:v>套光源配套</x:v>
      </x:c>
      <x:c r="G145" s="242" t="n">
        <x:f>D145*10000*E145</x:f>
        <x:v>0</x:v>
      </x:c>
      <x:c r="H145" s="249" t="n">
        <x:f>('机会输入'!E26+'机会输入'!E27)*MAX(0,'机会输入'!$C$37)</x:f>
        <x:v>88</x:v>
      </x:c>
      <x:c r="I145" s="249" t="n">
        <x:f>H145*MAX(0,'机会输入'!E5)</x:f>
        <x:v>88</x:v>
      </x:c>
      <x:c r="J145" s="250" t="n">
        <x:f>MAX(0,MIN(1,MAX(0,MIN(1,'机会输入'!E28+'规格输入'!$E$8))*MAX(0,'机会输入'!$D$37)))</x:f>
        <x:v>0.5625</x:v>
      </x:c>
      <x:c r="K145" s="249" t="n">
        <x:f>G145*I145/100000000</x:f>
        <x:v>0</x:v>
      </x:c>
      <x:c r="L145" s="249" t="n">
        <x:f>K145*J145</x:f>
        <x:v>0</x:v>
      </x:c>
      <x:c r="M145" s="249" t="n">
        <x:f>L145*'机会输入'!E4</x:f>
        <x:v>0</x:v>
      </x:c>
      <x:c r="N145" s="245"/>
    </x:row>
    <x:row r="146">
      <x:c r="A146" s="240" t="str">
        <x:v>2026E</x:v>
      </x:c>
      <x:c r="B146" s="240" t="str">
        <x:v>FAU关键尺寸量测设备</x:v>
      </x:c>
      <x:c r="C146" s="240" t="str">
        <x:v>102.4T</x:v>
      </x:c>
      <x:c r="D146" s="248" t="n">
        <x:f>'机会输入'!E16*MAX(0,'机会输入'!$B$37)*(1-MAX(0,MIN(1,'规格输入'!E6)))</x:f>
        <x:v>2</x:v>
      </x:c>
      <x:c r="E146" s="248" t="n">
        <x:f>'机会输入'!E17/'规格输入'!$E$10</x:f>
        <x:v>0.032</x:v>
      </x:c>
      <x:c r="F146" s="249" t="str">
        <x:v>台设备</x:v>
      </x:c>
      <x:c r="G146" s="242" t="n">
        <x:f>D146*10000*E146</x:f>
        <x:v>640</x:v>
      </x:c>
      <x:c r="H146" s="249" t="n">
        <x:f>('机会输入'!E30)*MAX(0,'机会输入'!$C$37)*'规格输入'!$E$7</x:f>
        <x:v>70400</x:v>
      </x:c>
      <x:c r="I146" s="249" t="n">
        <x:f>H146</x:f>
        <x:v>70400</x:v>
      </x:c>
      <x:c r="J146" s="250" t="n">
        <x:f>MAX(0,MIN(1,MAX(0,MIN(1,'机会输入'!E31))*MAX(0,'机会输入'!$D$37)))</x:f>
        <x:v>0.1125</x:v>
      </x:c>
      <x:c r="K146" s="249" t="n">
        <x:f>G146*I146/100000000</x:f>
        <x:v>0.45056</x:v>
      </x:c>
      <x:c r="L146" s="249" t="n">
        <x:f>K146*J146</x:f>
        <x:v>0.050688000000000004</x:v>
      </x:c>
      <x:c r="M146" s="249" t="n">
        <x:f>L146*'机会输入'!E4</x:f>
        <x:v>0.016727040000000002</x:v>
      </x:c>
      <x:c r="N146" s="245"/>
    </x:row>
    <x:row r="147">
      <x:c r="A147" s="240" t="str">
        <x:v>2026E</x:v>
      </x:c>
      <x:c r="B147" s="240" t="str">
        <x:v>FAU关键尺寸量测设备</x:v>
      </x:c>
      <x:c r="C147" s="240" t="str">
        <x:v>204.8T</x:v>
      </x:c>
      <x:c r="D147" s="248" t="n">
        <x:f>'机会输入'!E16*MAX(0,'机会输入'!$B$37)*MAX(0,MIN(1,'规格输入'!E6))</x:f>
        <x:v>0</x:v>
      </x:c>
      <x:c r="E147" s="248" t="n">
        <x:f>'机会输入'!E17/'规格输入'!$E$10</x:f>
        <x:v>0.032</x:v>
      </x:c>
      <x:c r="F147" s="249" t="str">
        <x:v>台设备</x:v>
      </x:c>
      <x:c r="G147" s="242" t="n">
        <x:f>D147*10000*E147</x:f>
        <x:v>0</x:v>
      </x:c>
      <x:c r="H147" s="249" t="n">
        <x:f>('机会输入'!E30)*MAX(0,'机会输入'!$C$37)</x:f>
        <x:v>88000</x:v>
      </x:c>
      <x:c r="I147" s="249" t="n">
        <x:f>H147</x:f>
        <x:v>88000</x:v>
      </x:c>
      <x:c r="J147" s="250" t="n">
        <x:f>MAX(0,MIN(1,MAX(0,MIN(1,'机会输入'!E31+'规格输入'!$E$8))*MAX(0,'机会输入'!$D$37)))</x:f>
        <x:v>0.16875</x:v>
      </x:c>
      <x:c r="K147" s="249" t="n">
        <x:f>G147*I147/100000000</x:f>
        <x:v>0</x:v>
      </x:c>
      <x:c r="L147" s="249" t="n">
        <x:f>K147*J147</x:f>
        <x:v>0</x:v>
      </x:c>
      <x:c r="M147" s="249" t="n">
        <x:f>L147*'机会输入'!E4</x:f>
        <x:v>0</x:v>
      </x:c>
      <x:c r="N147" s="245"/>
    </x:row>
    <x:row r="148">
      <x:c r="A148" s="240" t="str">
        <x:v>2027E</x:v>
      </x:c>
      <x:c r="B148" s="240" t="str">
        <x:v>800G可插拔透镜</x:v>
      </x:c>
      <x:c r="C148" s="240" t="str">
        <x:v>800G</x:v>
      </x:c>
      <x:c r="D148" s="248" t="n">
        <x:f>'机会输入'!F7*MAX(0,'机会输入'!$B$37)*1</x:f>
        <x:v>7250</x:v>
      </x:c>
      <x:c r="E148" s="248" t="n">
        <x:f>'机会输入'!F6</x:f>
        <x:v>10</x:v>
      </x:c>
      <x:c r="F148" s="249" t="str">
        <x:v>只透镜</x:v>
      </x:c>
      <x:c r="G148" s="242" t="n">
        <x:f>D148*10000*E148</x:f>
        <x:v>725000000</x:v>
      </x:c>
      <x:c r="H148" s="249" t="n">
        <x:f>('机会输入'!F8)*MAX(0,'机会输入'!$C$37)</x:f>
        <x:v>4.4</x:v>
      </x:c>
      <x:c r="I148" s="249" t="n">
        <x:f>H148*MAX(0,'机会输入'!F32)</x:f>
        <x:v>3.9600000000000004</x:v>
      </x:c>
      <x:c r="J148" s="250" t="n">
        <x:f>MAX(0,MIN(1,MAX(0,MIN(1,'机会输入'!F11))*MAX(0,'机会输入'!$E$37)))</x:f>
        <x:v>0.1</x:v>
      </x:c>
      <x:c r="K148" s="249" t="n">
        <x:f>G148*I148/100000000</x:f>
        <x:v>28.710000000000004</x:v>
      </x:c>
      <x:c r="L148" s="249" t="n">
        <x:f>K148*J148</x:f>
        <x:v>2.8710000000000004</x:v>
      </x:c>
      <x:c r="M148" s="249" t="n">
        <x:f>L148*'机会输入'!F4</x:f>
        <x:v>0.9474300000000002</x:v>
      </x:c>
      <x:c r="N148" s="245"/>
    </x:row>
    <x:row r="149">
      <x:c r="A149" s="240" t="str">
        <x:v>2027E</x:v>
      </x:c>
      <x:c r="B149" s="240" t="str">
        <x:v>1.6T可插拔透镜</x:v>
      </x:c>
      <x:c r="C149" s="240" t="str">
        <x:v>1.6T</x:v>
      </x:c>
      <x:c r="D149" s="248" t="n">
        <x:f>'机会输入'!F9*MAX(0,'机会输入'!$B$37)*1</x:f>
        <x:v>6400</x:v>
      </x:c>
      <x:c r="E149" s="248" t="n">
        <x:f>'机会输入'!F6</x:f>
        <x:v>10</x:v>
      </x:c>
      <x:c r="F149" s="249" t="str">
        <x:v>只透镜</x:v>
      </x:c>
      <x:c r="G149" s="242" t="n">
        <x:f>D149*10000*E149</x:f>
        <x:v>640000000</x:v>
      </x:c>
      <x:c r="H149" s="249" t="n">
        <x:f>('机会输入'!F10)*MAX(0,'机会输入'!$C$37)</x:f>
        <x:v>6.16</x:v>
      </x:c>
      <x:c r="I149" s="249" t="n">
        <x:f>H149*MAX(0,'机会输入'!F32)</x:f>
        <x:v>5.5440000000000005</x:v>
      </x:c>
      <x:c r="J149" s="250" t="n">
        <x:f>MAX(0,MIN(1,MAX(0,MIN(1,'机会输入'!F11))*MAX(0,'机会输入'!$E$37)))</x:f>
        <x:v>0.1</x:v>
      </x:c>
      <x:c r="K149" s="249" t="n">
        <x:f>G149*I149/100000000</x:f>
        <x:v>35.48160000000001</x:v>
      </x:c>
      <x:c r="L149" s="249" t="n">
        <x:f>K149*J149</x:f>
        <x:v>3.548160000000001</x:v>
      </x:c>
      <x:c r="M149" s="249" t="n">
        <x:f>L149*'机会输入'!F4</x:f>
        <x:v>1.1708928000000005</x:v>
      </x:c>
      <x:c r="N149" s="245"/>
    </x:row>
    <x:row r="150">
      <x:c r="A150" s="240" t="str">
        <x:v>2027E</x:v>
      </x:c>
      <x:c r="B150" s="240" t="str">
        <x:v>OCS NxN透镜阵列</x:v>
      </x:c>
      <x:c r="C150" s="240" t="str">
        <x:v>小端口参考系统</x:v>
      </x:c>
      <x:c r="D150" s="248" t="n">
        <x:f>'机会输入'!F12*MAX(0,'机会输入'!$B$37)*(1-MAX(0,MIN(1,'规格输入'!F5)))</x:f>
        <x:v>6</x:v>
      </x:c>
      <x:c r="E150" s="248" t="n">
        <x:f>'规格输入'!$E$4</x:f>
        <x:v>256</x:v>
      </x:c>
      <x:c r="F150" s="249" t="str">
        <x:v>总光通道</x:v>
      </x:c>
      <x:c r="G150" s="242" t="n">
        <x:f>D150*10000*E150</x:f>
        <x:v>15360000</x:v>
      </x:c>
      <x:c r="H150" s="249" t="n">
        <x:f>'规格输入'!$M$7</x:f>
        <x:v>25</x:v>
      </x:c>
      <x:c r="I150" s="249" t="n">
        <x:f>H150*MAX(0,'机会输入'!F5)</x:f>
        <x:v>20</x:v>
      </x:c>
      <x:c r="J150" s="250" t="n">
        <x:f>MAX(0,MIN(1,MAX(0,MIN(1,'机会输入'!F15))*MAX(0,'机会输入'!$E$37)))</x:f>
        <x:v>1</x:v>
      </x:c>
      <x:c r="K150" s="249" t="n">
        <x:f>G150*I150/100000000</x:f>
        <x:v>3.072</x:v>
      </x:c>
      <x:c r="L150" s="249" t="n">
        <x:f>K150*J150</x:f>
        <x:v>3.072</x:v>
      </x:c>
      <x:c r="M150" s="249" t="n">
        <x:f>L150*'机会输入'!F4</x:f>
        <x:v>1.01376</x:v>
      </x:c>
      <x:c r="N150" s="245"/>
    </x:row>
    <x:row r="151">
      <x:c r="A151" s="240" t="str">
        <x:v>2027E</x:v>
      </x:c>
      <x:c r="B151" s="240" t="str">
        <x:v>OCS NxN透镜阵列</x:v>
      </x:c>
      <x:c r="C151" s="240" t="str">
        <x:v>大端口320×320</x:v>
      </x:c>
      <x:c r="D151" s="248" t="n">
        <x:f>'机会输入'!F12*MAX(0,'机会输入'!$B$37)*MAX(0,MIN(1,'规格输入'!F5))</x:f>
        <x:v>4</x:v>
      </x:c>
      <x:c r="E151" s="248" t="n">
        <x:f>'机会输入'!F13</x:f>
        <x:v>640</x:v>
      </x:c>
      <x:c r="F151" s="249" t="str">
        <x:v>总光通道</x:v>
      </x:c>
      <x:c r="G151" s="242" t="n">
        <x:f>D151*10000*E151</x:f>
        <x:v>25600000</x:v>
      </x:c>
      <x:c r="H151" s="249" t="n">
        <x:f>'机会输入'!$I$37</x:f>
        <x:v>50</x:v>
      </x:c>
      <x:c r="I151" s="249" t="n">
        <x:f>H151*MAX(0,'机会输入'!F5)</x:f>
        <x:v>40</x:v>
      </x:c>
      <x:c r="J151" s="250" t="n">
        <x:f>MAX(0,MIN(1,MAX(0,MIN(1,'机会输入'!F15+'规格输入'!$E$8))*MAX(0,'机会输入'!$E$37)))</x:f>
        <x:v>1</x:v>
      </x:c>
      <x:c r="K151" s="249" t="n">
        <x:f>G151*I151/100000000</x:f>
        <x:v>10.24</x:v>
      </x:c>
      <x:c r="L151" s="249" t="n">
        <x:f>K151*J151</x:f>
        <x:v>10.24</x:v>
      </x:c>
      <x:c r="M151" s="249" t="n">
        <x:f>L151*'机会输入'!F4</x:f>
        <x:v>3.3792000000000004</x:v>
      </x:c>
      <x:c r="N151" s="245"/>
    </x:row>
    <x:row r="152">
      <x:c r="A152" s="240" t="str">
        <x:v>2027E</x:v>
      </x:c>
      <x:c r="B152" s="240" t="str">
        <x:v>FAU V型槽</x:v>
      </x:c>
      <x:c r="C152" s="240" t="str">
        <x:v>102.4T</x:v>
      </x:c>
      <x:c r="D152" s="248" t="n">
        <x:f>'机会输入'!F16*MAX(0,'机会输入'!$B$37)*(1-MAX(0,MIN(1,'规格输入'!F6)))</x:f>
        <x:v>20</x:v>
      </x:c>
      <x:c r="E152" s="248" t="n">
        <x:f>'机会输入'!F17*'机会输入'!F18</x:f>
        <x:v>1152</x:v>
      </x:c>
      <x:c r="F152" s="249" t="str">
        <x:v>通道</x:v>
      </x:c>
      <x:c r="G152" s="242" t="n">
        <x:f>D152*10000*E152</x:f>
        <x:v>230400000</x:v>
      </x:c>
      <x:c r="H152" s="249" t="n">
        <x:f>('机会输入'!F19)*MAX(0,'机会输入'!$C$37)*'规格输入'!$E$7</x:f>
        <x:v>9.856000000000002</x:v>
      </x:c>
      <x:c r="I152" s="249" t="n">
        <x:f>H152*MAX(0,'机会输入'!F5)</x:f>
        <x:v>7.884800000000002</x:v>
      </x:c>
      <x:c r="J152" s="250" t="n">
        <x:f>MAX(0,MIN(1,MAX(0,MIN(1,'机会输入'!F20))*MAX(0,'机会输入'!$E$37)))</x:f>
        <x:v>0.5555555555555556</x:v>
      </x:c>
      <x:c r="K152" s="249" t="n">
        <x:f>G152*I152/100000000</x:f>
        <x:v>18.166579200000005</x:v>
      </x:c>
      <x:c r="L152" s="249" t="n">
        <x:f>K152*J152</x:f>
        <x:v>10.092544000000004</x:v>
      </x:c>
      <x:c r="M152" s="249" t="n">
        <x:f>L152*'机会输入'!F4</x:f>
        <x:v>3.330539520000001</x:v>
      </x:c>
      <x:c r="N152" s="245"/>
    </x:row>
    <x:row r="153">
      <x:c r="A153" s="240" t="str">
        <x:v>2027E</x:v>
      </x:c>
      <x:c r="B153" s="240" t="str">
        <x:v>FAU V型槽</x:v>
      </x:c>
      <x:c r="C153" s="240" t="str">
        <x:v>204.8T</x:v>
      </x:c>
      <x:c r="D153" s="248" t="n">
        <x:f>'机会输入'!F16*MAX(0,'机会输入'!$B$37)*MAX(0,MIN(1,'规格输入'!F6))</x:f>
        <x:v>0</x:v>
      </x:c>
      <x:c r="E153" s="248" t="n">
        <x:f>'机会输入'!F17*'规格输入'!$E$9</x:f>
        <x:v>2304</x:v>
      </x:c>
      <x:c r="F153" s="249" t="str">
        <x:v>通道</x:v>
      </x:c>
      <x:c r="G153" s="242" t="n">
        <x:f>D153*10000*E153</x:f>
        <x:v>0</x:v>
      </x:c>
      <x:c r="H153" s="249" t="n">
        <x:f>('机会输入'!F19)*MAX(0,'机会输入'!$C$37)</x:f>
        <x:v>12.32</x:v>
      </x:c>
      <x:c r="I153" s="249" t="n">
        <x:f>H153*MAX(0,'机会输入'!F5)</x:f>
        <x:v>9.856000000000002</x:v>
      </x:c>
      <x:c r="J153" s="250" t="n">
        <x:f>MAX(0,MIN(1,MAX(0,MIN(1,'机会输入'!F20+'规格输入'!$E$8))*MAX(0,'机会输入'!$E$37)))</x:f>
        <x:v>0.6111111111111112</x:v>
      </x:c>
      <x:c r="K153" s="249" t="n">
        <x:f>G153*I153/100000000</x:f>
        <x:v>0</x:v>
      </x:c>
      <x:c r="L153" s="249" t="n">
        <x:f>K153*J153</x:f>
        <x:v>0</x:v>
      </x:c>
      <x:c r="M153" s="249" t="n">
        <x:f>L153*'机会输入'!F4</x:f>
        <x:v>0</x:v>
      </x:c>
      <x:c r="N153" s="245"/>
    </x:row>
    <x:row r="154">
      <x:c r="A154" s="240" t="str">
        <x:v>2027E</x:v>
      </x:c>
      <x:c r="B154" s="240" t="str">
        <x:v>FAU棱镜透镜阵列</x:v>
      </x:c>
      <x:c r="C154" s="240" t="str">
        <x:v>102.4T</x:v>
      </x:c>
      <x:c r="D154" s="248" t="n">
        <x:f>'机会输入'!F16*MAX(0,'机会输入'!$B$37)*(1-MAX(0,MIN(1,'规格输入'!F6)))</x:f>
        <x:v>20</x:v>
      </x:c>
      <x:c r="E154" s="248" t="n">
        <x:f>'机会输入'!F21*'机会输入'!F22</x:f>
        <x:v>1152</x:v>
      </x:c>
      <x:c r="F154" s="249" t="str">
        <x:v>通道</x:v>
      </x:c>
      <x:c r="G154" s="242" t="n">
        <x:f>D154*10000*E154</x:f>
        <x:v>230400000</x:v>
      </x:c>
      <x:c r="H154" s="249" t="n">
        <x:f>('机会输入'!F23)*MAX(0,'机会输入'!$C$37)*'规格输入'!$E$7</x:f>
        <x:v>14.080000000000002</x:v>
      </x:c>
      <x:c r="I154" s="249" t="n">
        <x:f>H154*MAX(0,'机会输入'!F5)</x:f>
        <x:v>11.264000000000003</x:v>
      </x:c>
      <x:c r="J154" s="250" t="n">
        <x:f>'机会输入'!F24</x:f>
        <x:v>0.45</x:v>
      </x:c>
      <x:c r="K154" s="249" t="n">
        <x:f>G154*I154/100000000</x:f>
        <x:v>25.952256000000006</x:v>
      </x:c>
      <x:c r="L154" s="249" t="n">
        <x:f>K154*J154</x:f>
        <x:v>11.678515200000003</x:v>
      </x:c>
      <x:c r="M154" s="249" t="n">
        <x:f>L154*'机会输入'!F4</x:f>
        <x:v>3.8539100160000013</x:v>
      </x:c>
      <x:c r="N154" s="245"/>
    </x:row>
    <x:row r="155">
      <x:c r="A155" s="240" t="str">
        <x:v>2027E</x:v>
      </x:c>
      <x:c r="B155" s="240" t="str">
        <x:v>FAU棱镜透镜阵列</x:v>
      </x:c>
      <x:c r="C155" s="240" t="str">
        <x:v>204.8T</x:v>
      </x:c>
      <x:c r="D155" s="248" t="n">
        <x:f>'机会输入'!F16*MAX(0,'机会输入'!$B$37)*MAX(0,MIN(1,'规格输入'!F6))</x:f>
        <x:v>0</x:v>
      </x:c>
      <x:c r="E155" s="248" t="n">
        <x:f>'机会输入'!F21*'规格输入'!$E$9</x:f>
        <x:v>2304</x:v>
      </x:c>
      <x:c r="F155" s="249" t="str">
        <x:v>通道</x:v>
      </x:c>
      <x:c r="G155" s="242" t="n">
        <x:f>D155*10000*E155</x:f>
        <x:v>0</x:v>
      </x:c>
      <x:c r="H155" s="249" t="n">
        <x:f>('机会输入'!F23)*MAX(0,'机会输入'!$C$37)</x:f>
        <x:v>17.6</x:v>
      </x:c>
      <x:c r="I155" s="249" t="n">
        <x:f>H155*MAX(0,'机会输入'!F5)</x:f>
        <x:v>14.080000000000002</x:v>
      </x:c>
      <x:c r="J155" s="250" t="n">
        <x:f>'机会输入'!F24</x:f>
        <x:v>0.45</x:v>
      </x:c>
      <x:c r="K155" s="249" t="n">
        <x:f>G155*I155/100000000</x:f>
        <x:v>0</x:v>
      </x:c>
      <x:c r="L155" s="249" t="n">
        <x:f>K155*J155</x:f>
        <x:v>0</x:v>
      </x:c>
      <x:c r="M155" s="249" t="n">
        <x:f>L155*'机会输入'!F4</x:f>
        <x:v>0</x:v>
      </x:c>
      <x:c r="N155" s="245"/>
    </x:row>
    <x:row r="156">
      <x:c r="A156" s="240" t="str">
        <x:v>2027E</x:v>
      </x:c>
      <x:c r="B156" s="240" t="str">
        <x:v>ELS透镜＋热沉</x:v>
      </x:c>
      <x:c r="C156" s="240" t="str">
        <x:v>102.4T</x:v>
      </x:c>
      <x:c r="D156" s="248" t="n">
        <x:f>'机会输入'!F16*MAX(0,'机会输入'!$B$37)*(1-MAX(0,MIN(1,'规格输入'!F6)))</x:f>
        <x:v>20</x:v>
      </x:c>
      <x:c r="E156" s="248" t="n">
        <x:f>'机会输入'!F25</x:f>
        <x:v>128</x:v>
      </x:c>
      <x:c r="F156" s="249" t="str">
        <x:v>套光源配套</x:v>
      </x:c>
      <x:c r="G156" s="242" t="n">
        <x:f>D156*10000*E156</x:f>
        <x:v>25600000</x:v>
      </x:c>
      <x:c r="H156" s="249" t="n">
        <x:f>('机会输入'!F26+'机会输入'!F27)*MAX(0,'机会输入'!$C$37)*'规格输入'!$E$7</x:f>
        <x:v>70.4</x:v>
      </x:c>
      <x:c r="I156" s="249" t="n">
        <x:f>H156*MAX(0,'机会输入'!F5)</x:f>
        <x:v>56.32000000000001</x:v>
      </x:c>
      <x:c r="J156" s="250" t="n">
        <x:f>MAX(0,MIN(1,MAX(0,MIN(1,'机会输入'!F28))*MAX(0,'机会输入'!$E$37)))</x:f>
        <x:v>0.5</x:v>
      </x:c>
      <x:c r="K156" s="249" t="n">
        <x:f>G156*I156/100000000</x:f>
        <x:v>14.417920000000002</x:v>
      </x:c>
      <x:c r="L156" s="249" t="n">
        <x:f>K156*J156</x:f>
        <x:v>7.208960000000001</x:v>
      </x:c>
      <x:c r="M156" s="249" t="n">
        <x:f>L156*'机会输入'!F4</x:f>
        <x:v>2.3789568000000005</x:v>
      </x:c>
      <x:c r="N156" s="245"/>
    </x:row>
    <x:row r="157">
      <x:c r="A157" s="240" t="str">
        <x:v>2027E</x:v>
      </x:c>
      <x:c r="B157" s="240" t="str">
        <x:v>ELS透镜＋热沉</x:v>
      </x:c>
      <x:c r="C157" s="240" t="str">
        <x:v>204.8T</x:v>
      </x:c>
      <x:c r="D157" s="248" t="n">
        <x:f>'机会输入'!F16*MAX(0,'机会输入'!$B$37)*MAX(0,MIN(1,'规格输入'!F6))</x:f>
        <x:v>0</x:v>
      </x:c>
      <x:c r="E157" s="248" t="n">
        <x:f>'机会输入'!F25</x:f>
        <x:v>128</x:v>
      </x:c>
      <x:c r="F157" s="249" t="str">
        <x:v>套光源配套</x:v>
      </x:c>
      <x:c r="G157" s="242" t="n">
        <x:f>D157*10000*E157</x:f>
        <x:v>0</x:v>
      </x:c>
      <x:c r="H157" s="249" t="n">
        <x:f>('机会输入'!F26+'机会输入'!F27)*MAX(0,'机会输入'!$C$37)</x:f>
        <x:v>88</x:v>
      </x:c>
      <x:c r="I157" s="249" t="n">
        <x:f>H157*MAX(0,'机会输入'!F5)</x:f>
        <x:v>70.4</x:v>
      </x:c>
      <x:c r="J157" s="250" t="n">
        <x:f>MAX(0,MIN(1,MAX(0,MIN(1,'机会输入'!F28+'规格输入'!$E$8))*MAX(0,'机会输入'!$E$37)))</x:f>
        <x:v>0.5555555555555556</x:v>
      </x:c>
      <x:c r="K157" s="249" t="n">
        <x:f>G157*I157/100000000</x:f>
        <x:v>0</x:v>
      </x:c>
      <x:c r="L157" s="249" t="n">
        <x:f>K157*J157</x:f>
        <x:v>0</x:v>
      </x:c>
      <x:c r="M157" s="249" t="n">
        <x:f>L157*'机会输入'!F4</x:f>
        <x:v>0</x:v>
      </x:c>
      <x:c r="N157" s="245"/>
    </x:row>
    <x:row r="158">
      <x:c r="A158" s="240" t="str">
        <x:v>2027E</x:v>
      </x:c>
      <x:c r="B158" s="240" t="str">
        <x:v>FAU关键尺寸量测设备</x:v>
      </x:c>
      <x:c r="C158" s="240" t="str">
        <x:v>102.4T</x:v>
      </x:c>
      <x:c r="D158" s="248" t="n">
        <x:f>'机会输入'!F16*MAX(0,'机会输入'!$B$37)*(1-MAX(0,MIN(1,'规格输入'!F6)))</x:f>
        <x:v>20</x:v>
      </x:c>
      <x:c r="E158" s="248" t="n">
        <x:f>'机会输入'!F17/'规格输入'!$E$10</x:f>
        <x:v>0.032</x:v>
      </x:c>
      <x:c r="F158" s="249" t="str">
        <x:v>台设备</x:v>
      </x:c>
      <x:c r="G158" s="242" t="n">
        <x:f>D158*10000*E158</x:f>
        <x:v>6400</x:v>
      </x:c>
      <x:c r="H158" s="249" t="n">
        <x:f>('机会输入'!F30)*MAX(0,'机会输入'!$C$37)*'规格输入'!$E$7</x:f>
        <x:v>70400</x:v>
      </x:c>
      <x:c r="I158" s="249" t="n">
        <x:f>H158</x:f>
        <x:v>70400</x:v>
      </x:c>
      <x:c r="J158" s="250" t="n">
        <x:f>MAX(0,MIN(1,MAX(0,MIN(1,'机会输入'!F31))*MAX(0,'机会输入'!$E$37)))</x:f>
        <x:v>0.3333333333333333</x:v>
      </x:c>
      <x:c r="K158" s="249" t="n">
        <x:f>G158*I158/100000000</x:f>
        <x:v>4.5056</x:v>
      </x:c>
      <x:c r="L158" s="249" t="n">
        <x:f>K158*J158</x:f>
        <x:v>1.5018666666666667</x:v>
      </x:c>
      <x:c r="M158" s="249" t="n">
        <x:f>L158*'机会输入'!F4</x:f>
        <x:v>0.49561600000000006</x:v>
      </x:c>
      <x:c r="N158" s="245"/>
    </x:row>
    <x:row r="159">
      <x:c r="A159" s="240" t="str">
        <x:v>2027E</x:v>
      </x:c>
      <x:c r="B159" s="240" t="str">
        <x:v>FAU关键尺寸量测设备</x:v>
      </x:c>
      <x:c r="C159" s="240" t="str">
        <x:v>204.8T</x:v>
      </x:c>
      <x:c r="D159" s="248" t="n">
        <x:f>'机会输入'!F16*MAX(0,'机会输入'!$B$37)*MAX(0,MIN(1,'规格输入'!F6))</x:f>
        <x:v>0</x:v>
      </x:c>
      <x:c r="E159" s="248" t="n">
        <x:f>'机会输入'!F17/'规格输入'!$E$10</x:f>
        <x:v>0.032</x:v>
      </x:c>
      <x:c r="F159" s="249" t="str">
        <x:v>台设备</x:v>
      </x:c>
      <x:c r="G159" s="242" t="n">
        <x:f>D159*10000*E159</x:f>
        <x:v>0</x:v>
      </x:c>
      <x:c r="H159" s="249" t="n">
        <x:f>('机会输入'!F30)*MAX(0,'机会输入'!$C$37)</x:f>
        <x:v>88000</x:v>
      </x:c>
      <x:c r="I159" s="249" t="n">
        <x:f>H159</x:f>
        <x:v>88000</x:v>
      </x:c>
      <x:c r="J159" s="250" t="n">
        <x:f>MAX(0,MIN(1,MAX(0,MIN(1,'机会输入'!F31+'规格输入'!$E$8))*MAX(0,'机会输入'!$E$37)))</x:f>
        <x:v>0.3888888888888889</x:v>
      </x:c>
      <x:c r="K159" s="249" t="n">
        <x:f>G159*I159/100000000</x:f>
        <x:v>0</x:v>
      </x:c>
      <x:c r="L159" s="249" t="n">
        <x:f>K159*J159</x:f>
        <x:v>0</x:v>
      </x:c>
      <x:c r="M159" s="249" t="n">
        <x:f>L159*'机会输入'!F4</x:f>
        <x:v>0</x:v>
      </x:c>
      <x:c r="N159" s="245"/>
    </x:row>
    <x:row r="160">
      <x:c r="A160" s="240" t="str">
        <x:v>2028E</x:v>
      </x:c>
      <x:c r="B160" s="240" t="str">
        <x:v>800G可插拔透镜</x:v>
      </x:c>
      <x:c r="C160" s="240" t="str">
        <x:v>800G</x:v>
      </x:c>
      <x:c r="D160" s="248" t="n">
        <x:f>'机会输入'!G7*MAX(0,'机会输入'!$B$37)*1</x:f>
        <x:v>5000</x:v>
      </x:c>
      <x:c r="E160" s="248" t="n">
        <x:f>'机会输入'!G6</x:f>
        <x:v>10</x:v>
      </x:c>
      <x:c r="F160" s="249" t="str">
        <x:v>只透镜</x:v>
      </x:c>
      <x:c r="G160" s="242" t="n">
        <x:f>D160*10000*E160</x:f>
        <x:v>500000000</x:v>
      </x:c>
      <x:c r="H160" s="249" t="n">
        <x:f>('机会输入'!G8)*MAX(0,'机会输入'!$C$37)</x:f>
        <x:v>4.4</x:v>
      </x:c>
      <x:c r="I160" s="249" t="n">
        <x:f>H160*MAX(0,'机会输入'!G32)</x:f>
        <x:v>3.5640000000000005</x:v>
      </x:c>
      <x:c r="J160" s="250" t="n">
        <x:f>MAX(0,MIN(1,MAX(0,MIN(1,'机会输入'!G11))*MAX(0,'机会输入'!$F$37)))</x:f>
        <x:v>0.11000000000000001</x:v>
      </x:c>
      <x:c r="K160" s="249" t="n">
        <x:f>G160*I160/100000000</x:f>
        <x:v>17.820000000000004</x:v>
      </x:c>
      <x:c r="L160" s="249" t="n">
        <x:f>K160*J160</x:f>
        <x:v>1.9602000000000006</x:v>
      </x:c>
      <x:c r="M160" s="249" t="n">
        <x:f>L160*'机会输入'!G4</x:f>
        <x:v>0.6468660000000003</x:v>
      </x:c>
      <x:c r="N160" s="245"/>
    </x:row>
    <x:row r="161">
      <x:c r="A161" s="240" t="str">
        <x:v>2028E</x:v>
      </x:c>
      <x:c r="B161" s="240" t="str">
        <x:v>1.6T可插拔透镜</x:v>
      </x:c>
      <x:c r="C161" s="240" t="str">
        <x:v>1.6T</x:v>
      </x:c>
      <x:c r="D161" s="248" t="n">
        <x:f>'机会输入'!G9*MAX(0,'机会输入'!$B$37)*1</x:f>
        <x:v>10500</x:v>
      </x:c>
      <x:c r="E161" s="248" t="n">
        <x:f>'机会输入'!G6</x:f>
        <x:v>10</x:v>
      </x:c>
      <x:c r="F161" s="249" t="str">
        <x:v>只透镜</x:v>
      </x:c>
      <x:c r="G161" s="242" t="n">
        <x:f>D161*10000*E161</x:f>
        <x:v>1050000000</x:v>
      </x:c>
      <x:c r="H161" s="249" t="n">
        <x:f>('机会输入'!G10)*MAX(0,'机会输入'!$C$37)</x:f>
        <x:v>6.16</x:v>
      </x:c>
      <x:c r="I161" s="249" t="n">
        <x:f>H161*MAX(0,'机会输入'!G32)</x:f>
        <x:v>4.9896</x:v>
      </x:c>
      <x:c r="J161" s="250" t="n">
        <x:f>MAX(0,MIN(1,MAX(0,MIN(1,'机会输入'!G11))*MAX(0,'机会输入'!$F$37)))</x:f>
        <x:v>0.11000000000000001</x:v>
      </x:c>
      <x:c r="K161" s="249" t="n">
        <x:f>G161*I161/100000000</x:f>
        <x:v>52.3908</x:v>
      </x:c>
      <x:c r="L161" s="249" t="n">
        <x:f>K161*J161</x:f>
        <x:v>5.762988000000001</x:v>
      </x:c>
      <x:c r="M161" s="249" t="n">
        <x:f>L161*'机会输入'!G4</x:f>
        <x:v>1.9017860400000004</x:v>
      </x:c>
      <x:c r="N161" s="245"/>
    </x:row>
    <x:row r="162">
      <x:c r="A162" s="240" t="str">
        <x:v>2028E</x:v>
      </x:c>
      <x:c r="B162" s="240" t="str">
        <x:v>OCS NxN透镜阵列</x:v>
      </x:c>
      <x:c r="C162" s="240" t="str">
        <x:v>小端口参考系统</x:v>
      </x:c>
      <x:c r="D162" s="248" t="n">
        <x:f>'机会输入'!G12*MAX(0,'机会输入'!$B$37)*(1-MAX(0,MIN(1,'规格输入'!G5)))</x:f>
        <x:v>9</x:v>
      </x:c>
      <x:c r="E162" s="248" t="n">
        <x:f>'规格输入'!$E$4</x:f>
        <x:v>256</x:v>
      </x:c>
      <x:c r="F162" s="249" t="str">
        <x:v>总光通道</x:v>
      </x:c>
      <x:c r="G162" s="242" t="n">
        <x:f>D162*10000*E162</x:f>
        <x:v>23040000</x:v>
      </x:c>
      <x:c r="H162" s="249" t="n">
        <x:f>'规格输入'!$M$7</x:f>
        <x:v>25</x:v>
      </x:c>
      <x:c r="I162" s="249" t="n">
        <x:f>H162*MAX(0,'机会输入'!G5)</x:f>
        <x:v>18</x:v>
      </x:c>
      <x:c r="J162" s="250" t="n">
        <x:f>MAX(0,MIN(1,MAX(0,MIN(1,'机会输入'!G15))*MAX(0,'机会输入'!$F$37)))</x:f>
        <x:v>0.8800000000000001</x:v>
      </x:c>
      <x:c r="K162" s="249" t="n">
        <x:f>G162*I162/100000000</x:f>
        <x:v>4.1472</x:v>
      </x:c>
      <x:c r="L162" s="249" t="n">
        <x:f>K162*J162</x:f>
        <x:v>3.6495360000000003</x:v>
      </x:c>
      <x:c r="M162" s="249" t="n">
        <x:f>L162*'机会输入'!G4</x:f>
        <x:v>1.2043468800000001</x:v>
      </x:c>
      <x:c r="N162" s="245"/>
    </x:row>
    <x:row r="163">
      <x:c r="A163" s="240" t="str">
        <x:v>2028E</x:v>
      </x:c>
      <x:c r="B163" s="240" t="str">
        <x:v>OCS NxN透镜阵列</x:v>
      </x:c>
      <x:c r="C163" s="240" t="str">
        <x:v>大端口320×320</x:v>
      </x:c>
      <x:c r="D163" s="248" t="n">
        <x:f>'机会输入'!G12*MAX(0,'机会输入'!$B$37)*MAX(0,MIN(1,'规格输入'!G5))</x:f>
        <x:v>11</x:v>
      </x:c>
      <x:c r="E163" s="248" t="n">
        <x:f>'机会输入'!G13</x:f>
        <x:v>640</x:v>
      </x:c>
      <x:c r="F163" s="249" t="str">
        <x:v>总光通道</x:v>
      </x:c>
      <x:c r="G163" s="242" t="n">
        <x:f>D163*10000*E163</x:f>
        <x:v>70400000</x:v>
      </x:c>
      <x:c r="H163" s="249" t="n">
        <x:f>'机会输入'!$I$37</x:f>
        <x:v>50</x:v>
      </x:c>
      <x:c r="I163" s="249" t="n">
        <x:f>H163*MAX(0,'机会输入'!G5)</x:f>
        <x:v>36</x:v>
      </x:c>
      <x:c r="J163" s="250" t="n">
        <x:f>MAX(0,MIN(1,MAX(0,MIN(1,'机会输入'!G15+'规格输入'!$E$8))*MAX(0,'机会输入'!$F$37)))</x:f>
        <x:v>0.9350000000000002</x:v>
      </x:c>
      <x:c r="K163" s="249" t="n">
        <x:f>G163*I163/100000000</x:f>
        <x:v>25.344</x:v>
      </x:c>
      <x:c r="L163" s="249" t="n">
        <x:f>K163*J163</x:f>
        <x:v>23.696640000000006</x:v>
      </x:c>
      <x:c r="M163" s="249" t="n">
        <x:f>L163*'机会输入'!G4</x:f>
        <x:v>7.8198912000000025</x:v>
      </x:c>
      <x:c r="N163" s="245"/>
    </x:row>
    <x:row r="164">
      <x:c r="A164" s="240" t="str">
        <x:v>2028E</x:v>
      </x:c>
      <x:c r="B164" s="240" t="str">
        <x:v>FAU V型槽</x:v>
      </x:c>
      <x:c r="C164" s="240" t="str">
        <x:v>102.4T</x:v>
      </x:c>
      <x:c r="D164" s="248" t="n">
        <x:f>'机会输入'!G16*MAX(0,'机会输入'!$B$37)*(1-MAX(0,MIN(1,'规格输入'!G6)))</x:f>
        <x:v>30</x:v>
      </x:c>
      <x:c r="E164" s="248" t="n">
        <x:f>'机会输入'!G17*'机会输入'!G18</x:f>
        <x:v>1152</x:v>
      </x:c>
      <x:c r="F164" s="249" t="str">
        <x:v>通道</x:v>
      </x:c>
      <x:c r="G164" s="242" t="n">
        <x:f>D164*10000*E164</x:f>
        <x:v>345600000</x:v>
      </x:c>
      <x:c r="H164" s="249" t="n">
        <x:f>('机会输入'!G19)*MAX(0,'机会输入'!$C$37)*'规格输入'!$E$7</x:f>
        <x:v>9.856000000000002</x:v>
      </x:c>
      <x:c r="I164" s="249" t="n">
        <x:f>H164*MAX(0,'机会输入'!G5)</x:f>
        <x:v>7.096320000000001</x:v>
      </x:c>
      <x:c r="J164" s="250" t="n">
        <x:f>MAX(0,MIN(1,MAX(0,MIN(1,'机会输入'!G20))*MAX(0,'机会输入'!$F$37)))</x:f>
        <x:v>0.6050000000000001</x:v>
      </x:c>
      <x:c r="K164" s="249" t="n">
        <x:f>G164*I164/100000000</x:f>
        <x:v>24.524881920000006</x:v>
      </x:c>
      <x:c r="L164" s="249" t="n">
        <x:f>K164*J164</x:f>
        <x:v>14.837553561600005</x:v>
      </x:c>
      <x:c r="M164" s="249" t="n">
        <x:f>L164*'机会输入'!G4</x:f>
        <x:v>4.896392675328002</x:v>
      </x:c>
      <x:c r="N164" s="245"/>
    </x:row>
    <x:row r="165">
      <x:c r="A165" s="240" t="str">
        <x:v>2028E</x:v>
      </x:c>
      <x:c r="B165" s="240" t="str">
        <x:v>FAU V型槽</x:v>
      </x:c>
      <x:c r="C165" s="240" t="str">
        <x:v>204.8T</x:v>
      </x:c>
      <x:c r="D165" s="248" t="n">
        <x:f>'机会输入'!G16*MAX(0,'机会输入'!$B$37)*MAX(0,MIN(1,'规格输入'!G6))</x:f>
        <x:v>20</x:v>
      </x:c>
      <x:c r="E165" s="248" t="n">
        <x:f>'机会输入'!G17*'规格输入'!$E$9</x:f>
        <x:v>2304</x:v>
      </x:c>
      <x:c r="F165" s="249" t="str">
        <x:v>通道</x:v>
      </x:c>
      <x:c r="G165" s="242" t="n">
        <x:f>D165*10000*E165</x:f>
        <x:v>460800000</x:v>
      </x:c>
      <x:c r="H165" s="249" t="n">
        <x:f>('机会输入'!G19)*MAX(0,'机会输入'!$C$37)</x:f>
        <x:v>12.32</x:v>
      </x:c>
      <x:c r="I165" s="249" t="n">
        <x:f>H165*MAX(0,'机会输入'!G5)</x:f>
        <x:v>8.8704</x:v>
      </x:c>
      <x:c r="J165" s="250" t="n">
        <x:f>MAX(0,MIN(1,MAX(0,MIN(1,'机会输入'!G20+'规格输入'!$E$8))*MAX(0,'机会输入'!$F$37)))</x:f>
        <x:v>0.6600000000000001</x:v>
      </x:c>
      <x:c r="K165" s="249" t="n">
        <x:f>G165*I165/100000000</x:f>
        <x:v>40.8748032</x:v>
      </x:c>
      <x:c r="L165" s="249" t="n">
        <x:f>K165*J165</x:f>
        <x:v>26.977370112000006</x:v>
      </x:c>
      <x:c r="M165" s="249" t="n">
        <x:f>L165*'机会输入'!G4</x:f>
        <x:v>8.902532136960003</x:v>
      </x:c>
      <x:c r="N165" s="245"/>
    </x:row>
    <x:row r="166">
      <x:c r="A166" s="240" t="str">
        <x:v>2028E</x:v>
      </x:c>
      <x:c r="B166" s="240" t="str">
        <x:v>FAU棱镜透镜阵列</x:v>
      </x:c>
      <x:c r="C166" s="240" t="str">
        <x:v>102.4T</x:v>
      </x:c>
      <x:c r="D166" s="248" t="n">
        <x:f>'机会输入'!G16*MAX(0,'机会输入'!$B$37)*(1-MAX(0,MIN(1,'规格输入'!G6)))</x:f>
        <x:v>30</x:v>
      </x:c>
      <x:c r="E166" s="248" t="n">
        <x:f>'机会输入'!G21*'机会输入'!G22</x:f>
        <x:v>1152</x:v>
      </x:c>
      <x:c r="F166" s="249" t="str">
        <x:v>通道</x:v>
      </x:c>
      <x:c r="G166" s="242" t="n">
        <x:f>D166*10000*E166</x:f>
        <x:v>345600000</x:v>
      </x:c>
      <x:c r="H166" s="249" t="n">
        <x:f>('机会输入'!G23)*MAX(0,'机会输入'!$C$37)*'规格输入'!$E$7</x:f>
        <x:v>14.080000000000002</x:v>
      </x:c>
      <x:c r="I166" s="249" t="n">
        <x:f>H166*MAX(0,'机会输入'!G5)</x:f>
        <x:v>10.1376</x:v>
      </x:c>
      <x:c r="J166" s="250" t="n">
        <x:f>'机会输入'!G24</x:f>
        <x:v>0.45</x:v>
      </x:c>
      <x:c r="K166" s="249" t="n">
        <x:f>G166*I166/100000000</x:f>
        <x:v>35.035545600000006</x:v>
      </x:c>
      <x:c r="L166" s="249" t="n">
        <x:f>K166*J166</x:f>
        <x:v>15.765995520000002</x:v>
      </x:c>
      <x:c r="M166" s="249" t="n">
        <x:f>L166*'机会输入'!G4</x:f>
        <x:v>5.202778521600001</x:v>
      </x:c>
      <x:c r="N166" s="245"/>
    </x:row>
    <x:row r="167">
      <x:c r="A167" s="240" t="str">
        <x:v>2028E</x:v>
      </x:c>
      <x:c r="B167" s="240" t="str">
        <x:v>FAU棱镜透镜阵列</x:v>
      </x:c>
      <x:c r="C167" s="240" t="str">
        <x:v>204.8T</x:v>
      </x:c>
      <x:c r="D167" s="248" t="n">
        <x:f>'机会输入'!G16*MAX(0,'机会输入'!$B$37)*MAX(0,MIN(1,'规格输入'!G6))</x:f>
        <x:v>20</x:v>
      </x:c>
      <x:c r="E167" s="248" t="n">
        <x:f>'机会输入'!G21*'规格输入'!$E$9</x:f>
        <x:v>2304</x:v>
      </x:c>
      <x:c r="F167" s="249" t="str">
        <x:v>通道</x:v>
      </x:c>
      <x:c r="G167" s="242" t="n">
        <x:f>D167*10000*E167</x:f>
        <x:v>460800000</x:v>
      </x:c>
      <x:c r="H167" s="249" t="n">
        <x:f>('机会输入'!G23)*MAX(0,'机会输入'!$C$37)</x:f>
        <x:v>17.6</x:v>
      </x:c>
      <x:c r="I167" s="249" t="n">
        <x:f>H167*MAX(0,'机会输入'!G5)</x:f>
        <x:v>12.672</x:v>
      </x:c>
      <x:c r="J167" s="250" t="n">
        <x:f>'机会输入'!G24</x:f>
        <x:v>0.45</x:v>
      </x:c>
      <x:c r="K167" s="249" t="n">
        <x:f>G167*I167/100000000</x:f>
        <x:v>58.392576</x:v>
      </x:c>
      <x:c r="L167" s="249" t="n">
        <x:f>K167*J167</x:f>
        <x:v>26.2766592</x:v>
      </x:c>
      <x:c r="M167" s="249" t="n">
        <x:f>L167*'机会输入'!G4</x:f>
        <x:v>8.671297536</x:v>
      </x:c>
      <x:c r="N167" s="245"/>
    </x:row>
    <x:row r="168">
      <x:c r="A168" s="240" t="str">
        <x:v>2028E</x:v>
      </x:c>
      <x:c r="B168" s="240" t="str">
        <x:v>ELS透镜＋热沉</x:v>
      </x:c>
      <x:c r="C168" s="240" t="str">
        <x:v>102.4T</x:v>
      </x:c>
      <x:c r="D168" s="248" t="n">
        <x:f>'机会输入'!G16*MAX(0,'机会输入'!$B$37)*(1-MAX(0,MIN(1,'规格输入'!G6)))</x:f>
        <x:v>30</x:v>
      </x:c>
      <x:c r="E168" s="248" t="n">
        <x:f>'机会输入'!G25</x:f>
        <x:v>128</x:v>
      </x:c>
      <x:c r="F168" s="249" t="str">
        <x:v>套光源配套</x:v>
      </x:c>
      <x:c r="G168" s="242" t="n">
        <x:f>D168*10000*E168</x:f>
        <x:v>38400000</x:v>
      </x:c>
      <x:c r="H168" s="249" t="n">
        <x:f>('机会输入'!G26+'机会输入'!G27)*MAX(0,'机会输入'!$C$37)*'规格输入'!$E$7</x:f>
        <x:v>70.4</x:v>
      </x:c>
      <x:c r="I168" s="249" t="n">
        <x:f>H168*MAX(0,'机会输入'!G5)</x:f>
        <x:v>50.688</x:v>
      </x:c>
      <x:c r="J168" s="250" t="n">
        <x:f>MAX(0,MIN(1,MAX(0,MIN(1,'机会输入'!G28))*MAX(0,'机会输入'!$F$37)))</x:f>
        <x:v>0.47666666666666674</x:v>
      </x:c>
      <x:c r="K168" s="249" t="n">
        <x:f>G168*I168/100000000</x:f>
        <x:v>19.464192</x:v>
      </x:c>
      <x:c r="L168" s="249" t="n">
        <x:f>K168*J168</x:f>
        <x:v>9.277931520000001</x:v>
      </x:c>
      <x:c r="M168" s="249" t="n">
        <x:f>L168*'机会输入'!G4</x:f>
        <x:v>3.0617174016000006</x:v>
      </x:c>
      <x:c r="N168" s="245"/>
    </x:row>
    <x:row r="169">
      <x:c r="A169" s="240" t="str">
        <x:v>2028E</x:v>
      </x:c>
      <x:c r="B169" s="240" t="str">
        <x:v>ELS透镜＋热沉</x:v>
      </x:c>
      <x:c r="C169" s="240" t="str">
        <x:v>204.8T</x:v>
      </x:c>
      <x:c r="D169" s="248" t="n">
        <x:f>'机会输入'!G16*MAX(0,'机会输入'!$B$37)*MAX(0,MIN(1,'规格输入'!G6))</x:f>
        <x:v>20</x:v>
      </x:c>
      <x:c r="E169" s="248" t="n">
        <x:f>'机会输入'!G25</x:f>
        <x:v>128</x:v>
      </x:c>
      <x:c r="F169" s="249" t="str">
        <x:v>套光源配套</x:v>
      </x:c>
      <x:c r="G169" s="242" t="n">
        <x:f>D169*10000*E169</x:f>
        <x:v>25600000</x:v>
      </x:c>
      <x:c r="H169" s="249" t="n">
        <x:f>('机会输入'!G26+'机会输入'!G27)*MAX(0,'机会输入'!$C$37)</x:f>
        <x:v>88</x:v>
      </x:c>
      <x:c r="I169" s="249" t="n">
        <x:f>H169*MAX(0,'机会输入'!G5)</x:f>
        <x:v>63.36</x:v>
      </x:c>
      <x:c r="J169" s="250" t="n">
        <x:f>MAX(0,MIN(1,MAX(0,MIN(1,'机会输入'!G28+'规格输入'!$E$8))*MAX(0,'机会输入'!$F$37)))</x:f>
        <x:v>0.5316666666666667</x:v>
      </x:c>
      <x:c r="K169" s="249" t="n">
        <x:f>G169*I169/100000000</x:f>
        <x:v>16.22016</x:v>
      </x:c>
      <x:c r="L169" s="249" t="n">
        <x:f>K169*J169</x:f>
        <x:v>8.623718400000001</x:v>
      </x:c>
      <x:c r="M169" s="249" t="n">
        <x:f>L169*'机会输入'!G4</x:f>
        <x:v>2.8458270720000005</x:v>
      </x:c>
      <x:c r="N169" s="245"/>
    </x:row>
    <x:row r="170">
      <x:c r="A170" s="240" t="str">
        <x:v>2028E</x:v>
      </x:c>
      <x:c r="B170" s="240" t="str">
        <x:v>FAU关键尺寸量测设备</x:v>
      </x:c>
      <x:c r="C170" s="240" t="str">
        <x:v>102.4T</x:v>
      </x:c>
      <x:c r="D170" s="248" t="n">
        <x:f>'机会输入'!G16*MAX(0,'机会输入'!$B$37)*(1-MAX(0,MIN(1,'规格输入'!G6)))</x:f>
        <x:v>30</x:v>
      </x:c>
      <x:c r="E170" s="248" t="n">
        <x:f>'机会输入'!G17/'规格输入'!$E$10</x:f>
        <x:v>0.032</x:v>
      </x:c>
      <x:c r="F170" s="249" t="str">
        <x:v>台设备</x:v>
      </x:c>
      <x:c r="G170" s="242" t="n">
        <x:f>D170*10000*E170</x:f>
        <x:v>9600</x:v>
      </x:c>
      <x:c r="H170" s="249" t="n">
        <x:f>('机会输入'!G30)*MAX(0,'机会输入'!$C$37)*'规格输入'!$E$7</x:f>
        <x:v>70400</x:v>
      </x:c>
      <x:c r="I170" s="249" t="n">
        <x:f>H170</x:f>
        <x:v>70400</x:v>
      </x:c>
      <x:c r="J170" s="250" t="n">
        <x:f>MAX(0,MIN(1,MAX(0,MIN(1,'机会输入'!G31))*MAX(0,'机会输入'!$F$37)))</x:f>
        <x:v>0.49500000000000005</x:v>
      </x:c>
      <x:c r="K170" s="249" t="n">
        <x:f>G170*I170/100000000</x:f>
        <x:v>6.7584</x:v>
      </x:c>
      <x:c r="L170" s="249" t="n">
        <x:f>K170*J170</x:f>
        <x:v>3.3454080000000004</x:v>
      </x:c>
      <x:c r="M170" s="249" t="n">
        <x:f>L170*'机会输入'!G4</x:f>
        <x:v>1.1039846400000002</x:v>
      </x:c>
      <x:c r="N170" s="245"/>
    </x:row>
    <x:row r="171">
      <x:c r="A171" s="240" t="str">
        <x:v>2028E</x:v>
      </x:c>
      <x:c r="B171" s="240" t="str">
        <x:v>FAU关键尺寸量测设备</x:v>
      </x:c>
      <x:c r="C171" s="240" t="str">
        <x:v>204.8T</x:v>
      </x:c>
      <x:c r="D171" s="248" t="n">
        <x:f>'机会输入'!G16*MAX(0,'机会输入'!$B$37)*MAX(0,MIN(1,'规格输入'!G6))</x:f>
        <x:v>20</x:v>
      </x:c>
      <x:c r="E171" s="248" t="n">
        <x:f>'机会输入'!G17/'规格输入'!$E$10</x:f>
        <x:v>0.032</x:v>
      </x:c>
      <x:c r="F171" s="249" t="str">
        <x:v>台设备</x:v>
      </x:c>
      <x:c r="G171" s="242" t="n">
        <x:f>D171*10000*E171</x:f>
        <x:v>6400</x:v>
      </x:c>
      <x:c r="H171" s="249" t="n">
        <x:f>('机会输入'!G30)*MAX(0,'机会输入'!$C$37)</x:f>
        <x:v>88000</x:v>
      </x:c>
      <x:c r="I171" s="249" t="n">
        <x:f>H171</x:f>
        <x:v>88000</x:v>
      </x:c>
      <x:c r="J171" s="250" t="n">
        <x:f>MAX(0,MIN(1,MAX(0,MIN(1,'机会输入'!G31+'规格输入'!$E$8))*MAX(0,'机会输入'!$F$37)))</x:f>
        <x:v>0.55</x:v>
      </x:c>
      <x:c r="K171" s="249" t="n">
        <x:f>G171*I171/100000000</x:f>
        <x:v>5.632</x:v>
      </x:c>
      <x:c r="L171" s="249" t="n">
        <x:f>K171*J171</x:f>
        <x:v>3.0976</x:v>
      </x:c>
      <x:c r="M171" s="249" t="n">
        <x:f>L171*'机会输入'!G4</x:f>
        <x:v>1.022208</x:v>
      </x:c>
      <x:c r="N171" s="245"/>
    </x:row>
    <x:row r="172">
      <x:c r="A172" s="240" t="str">
        <x:v>2029E</x:v>
      </x:c>
      <x:c r="B172" s="240" t="str">
        <x:v>800G可插拔透镜</x:v>
      </x:c>
      <x:c r="C172" s="240" t="str">
        <x:v>800G</x:v>
      </x:c>
      <x:c r="D172" s="248" t="n">
        <x:f>'机会输入'!H7*MAX(0,'机会输入'!$B$37)*1</x:f>
        <x:v>3200</x:v>
      </x:c>
      <x:c r="E172" s="248" t="n">
        <x:f>'机会输入'!H6</x:f>
        <x:v>10</x:v>
      </x:c>
      <x:c r="F172" s="249" t="str">
        <x:v>只透镜</x:v>
      </x:c>
      <x:c r="G172" s="242" t="n">
        <x:f>D172*10000*E172</x:f>
        <x:v>320000000</x:v>
      </x:c>
      <x:c r="H172" s="249" t="n">
        <x:f>('机会输入'!H8)*MAX(0,'机会输入'!$C$37)</x:f>
        <x:v>4.4</x:v>
      </x:c>
      <x:c r="I172" s="249" t="n">
        <x:f>H172*MAX(0,'机会输入'!H32)</x:f>
        <x:v>3.2076000000000002</x:v>
      </x:c>
      <x:c r="J172" s="250" t="n">
        <x:f>MAX(0,MIN(1,MAX(0,MIN(1,'机会输入'!H11))*MAX(0,'机会输入'!$G$37)))</x:f>
        <x:v>0.11000000000000001</x:v>
      </x:c>
      <x:c r="K172" s="249" t="n">
        <x:f>G172*I172/100000000</x:f>
        <x:v>10.264320000000001</x:v>
      </x:c>
      <x:c r="L172" s="249" t="n">
        <x:f>K172*J172</x:f>
        <x:v>1.1290752000000004</x:v>
      </x:c>
      <x:c r="M172" s="249" t="n">
        <x:f>L172*'机会输入'!H4</x:f>
        <x:v>0.37259481600000016</x:v>
      </x:c>
      <x:c r="N172" s="245"/>
    </x:row>
    <x:row r="173">
      <x:c r="A173" s="240" t="str">
        <x:v>2029E</x:v>
      </x:c>
      <x:c r="B173" s="240" t="str">
        <x:v>1.6T可插拔透镜</x:v>
      </x:c>
      <x:c r="C173" s="240" t="str">
        <x:v>1.6T</x:v>
      </x:c>
      <x:c r="D173" s="248" t="n">
        <x:f>'机会输入'!H9*MAX(0,'机会输入'!$B$37)*1</x:f>
        <x:v>14500</x:v>
      </x:c>
      <x:c r="E173" s="248" t="n">
        <x:f>'机会输入'!H6</x:f>
        <x:v>10</x:v>
      </x:c>
      <x:c r="F173" s="249" t="str">
        <x:v>只透镜</x:v>
      </x:c>
      <x:c r="G173" s="242" t="n">
        <x:f>D173*10000*E173</x:f>
        <x:v>1450000000</x:v>
      </x:c>
      <x:c r="H173" s="249" t="n">
        <x:f>('机会输入'!H10)*MAX(0,'机会输入'!$C$37)</x:f>
        <x:v>6.16</x:v>
      </x:c>
      <x:c r="I173" s="249" t="n">
        <x:f>H173*MAX(0,'机会输入'!H32)</x:f>
        <x:v>4.49064</x:v>
      </x:c>
      <x:c r="J173" s="250" t="n">
        <x:f>MAX(0,MIN(1,MAX(0,MIN(1,'机会输入'!H11))*MAX(0,'机会输入'!$G$37)))</x:f>
        <x:v>0.11000000000000001</x:v>
      </x:c>
      <x:c r="K173" s="249" t="n">
        <x:f>G173*I173/100000000</x:f>
        <x:v>65.11428</x:v>
      </x:c>
      <x:c r="L173" s="249" t="n">
        <x:f>K173*J173</x:f>
        <x:v>7.1625708</x:v>
      </x:c>
      <x:c r="M173" s="249" t="n">
        <x:f>L173*'机会输入'!H4</x:f>
        <x:v>2.3636483640000003</x:v>
      </x:c>
      <x:c r="N173" s="245"/>
    </x:row>
    <x:row r="174">
      <x:c r="A174" s="240" t="str">
        <x:v>2029E</x:v>
      </x:c>
      <x:c r="B174" s="240" t="str">
        <x:v>OCS NxN透镜阵列</x:v>
      </x:c>
      <x:c r="C174" s="240" t="str">
        <x:v>小端口参考系统</x:v>
      </x:c>
      <x:c r="D174" s="248" t="n">
        <x:f>'机会输入'!H12*MAX(0,'机会输入'!$B$37)*(1-MAX(0,MIN(1,'规格输入'!H5)))</x:f>
        <x:v>11.2</x:v>
      </x:c>
      <x:c r="E174" s="248" t="n">
        <x:f>'规格输入'!$E$4</x:f>
        <x:v>256</x:v>
      </x:c>
      <x:c r="F174" s="249" t="str">
        <x:v>总光通道</x:v>
      </x:c>
      <x:c r="G174" s="242" t="n">
        <x:f>D174*10000*E174</x:f>
        <x:v>28672000</x:v>
      </x:c>
      <x:c r="H174" s="249" t="n">
        <x:f>'规格输入'!$M$7</x:f>
        <x:v>25</x:v>
      </x:c>
      <x:c r="I174" s="249" t="n">
        <x:f>H174*MAX(0,'机会输入'!H5)</x:f>
        <x:v>16.2</x:v>
      </x:c>
      <x:c r="J174" s="250" t="n">
        <x:f>MAX(0,MIN(1,MAX(0,MIN(1,'机会输入'!H15))*MAX(0,'机会输入'!$G$37)))</x:f>
        <x:v>0.77</x:v>
      </x:c>
      <x:c r="K174" s="249" t="n">
        <x:f>G174*I174/100000000</x:f>
        <x:v>4.644864</x:v>
      </x:c>
      <x:c r="L174" s="249" t="n">
        <x:f>K174*J174</x:f>
        <x:v>3.5765452800000004</x:v>
      </x:c>
      <x:c r="M174" s="249" t="n">
        <x:f>L174*'机会输入'!H4</x:f>
        <x:v>1.1802599424000002</x:v>
      </x:c>
      <x:c r="N174" s="245"/>
    </x:row>
    <x:row r="175">
      <x:c r="A175" s="240" t="str">
        <x:v>2029E</x:v>
      </x:c>
      <x:c r="B175" s="240" t="str">
        <x:v>OCS NxN透镜阵列</x:v>
      </x:c>
      <x:c r="C175" s="240" t="str">
        <x:v>大端口320×320</x:v>
      </x:c>
      <x:c r="D175" s="248" t="n">
        <x:f>'机会输入'!H12*MAX(0,'机会输入'!$B$37)*MAX(0,MIN(1,'规格输入'!H5))</x:f>
        <x:v>20.8</x:v>
      </x:c>
      <x:c r="E175" s="248" t="n">
        <x:f>'机会输入'!H13</x:f>
        <x:v>640</x:v>
      </x:c>
      <x:c r="F175" s="249" t="str">
        <x:v>总光通道</x:v>
      </x:c>
      <x:c r="G175" s="242" t="n">
        <x:f>D175*10000*E175</x:f>
        <x:v>133120000</x:v>
      </x:c>
      <x:c r="H175" s="249" t="n">
        <x:f>'机会输入'!$I$37</x:f>
        <x:v>50</x:v>
      </x:c>
      <x:c r="I175" s="249" t="n">
        <x:f>H175*MAX(0,'机会输入'!H5)</x:f>
        <x:v>32.4</x:v>
      </x:c>
      <x:c r="J175" s="250" t="n">
        <x:f>MAX(0,MIN(1,MAX(0,MIN(1,'机会输入'!H15+'规格输入'!$E$8))*MAX(0,'机会输入'!$G$37)))</x:f>
        <x:v>0.8250000000000001</x:v>
      </x:c>
      <x:c r="K175" s="249" t="n">
        <x:f>G175*I175/100000000</x:f>
        <x:v>43.13088</x:v>
      </x:c>
      <x:c r="L175" s="249" t="n">
        <x:f>K175*J175</x:f>
        <x:v>35.582976</x:v>
      </x:c>
      <x:c r="M175" s="249" t="n">
        <x:f>L175*'机会输入'!H4</x:f>
        <x:v>11.74238208</x:v>
      </x:c>
      <x:c r="N175" s="245"/>
    </x:row>
    <x:row r="176">
      <x:c r="A176" s="240" t="str">
        <x:v>2029E</x:v>
      </x:c>
      <x:c r="B176" s="240" t="str">
        <x:v>FAU V型槽</x:v>
      </x:c>
      <x:c r="C176" s="240" t="str">
        <x:v>102.4T</x:v>
      </x:c>
      <x:c r="D176" s="248" t="n">
        <x:f>'机会输入'!H16*MAX(0,'机会输入'!$B$37)*(1-MAX(0,MIN(1,'规格输入'!H6)))</x:f>
        <x:v>29.749999999999996</x:v>
      </x:c>
      <x:c r="E176" s="248" t="n">
        <x:f>'机会输入'!H17*'机会输入'!H18</x:f>
        <x:v>1152</x:v>
      </x:c>
      <x:c r="F176" s="249" t="str">
        <x:v>通道</x:v>
      </x:c>
      <x:c r="G176" s="242" t="n">
        <x:f>D176*10000*E176</x:f>
        <x:v>342719999.99999994</x:v>
      </x:c>
      <x:c r="H176" s="249" t="n">
        <x:f>('机会输入'!H19)*MAX(0,'机会输入'!$C$37)*'规格输入'!$E$7</x:f>
        <x:v>9.856000000000002</x:v>
      </x:c>
      <x:c r="I176" s="249" t="n">
        <x:f>H176*MAX(0,'机会输入'!H5)</x:f>
        <x:v>6.386688000000001</x:v>
      </x:c>
      <x:c r="J176" s="250" t="n">
        <x:f>MAX(0,MIN(1,MAX(0,MIN(1,'机会输入'!H20))*MAX(0,'机会输入'!$G$37)))</x:f>
        <x:v>0.66</x:v>
      </x:c>
      <x:c r="K176" s="249" t="n">
        <x:f>G176*I176/100000000</x:f>
        <x:v>21.8884571136</x:v>
      </x:c>
      <x:c r="L176" s="249" t="n">
        <x:f>K176*J176</x:f>
        <x:v>14.446381694976</x:v>
      </x:c>
      <x:c r="M176" s="249" t="n">
        <x:f>L176*'机会输入'!H4</x:f>
        <x:v>4.767305959342081</x:v>
      </x:c>
      <x:c r="N176" s="245"/>
    </x:row>
    <x:row r="177">
      <x:c r="A177" s="240" t="str">
        <x:v>2029E</x:v>
      </x:c>
      <x:c r="B177" s="240" t="str">
        <x:v>FAU V型槽</x:v>
      </x:c>
      <x:c r="C177" s="240" t="str">
        <x:v>204.8T</x:v>
      </x:c>
      <x:c r="D177" s="248" t="n">
        <x:f>'机会输入'!H16*MAX(0,'机会输入'!$B$37)*MAX(0,MIN(1,'规格输入'!H6))</x:f>
        <x:v>55.25</x:v>
      </x:c>
      <x:c r="E177" s="248" t="n">
        <x:f>'机会输入'!H17*'规格输入'!$E$9</x:f>
        <x:v>2304</x:v>
      </x:c>
      <x:c r="F177" s="249" t="str">
        <x:v>通道</x:v>
      </x:c>
      <x:c r="G177" s="242" t="n">
        <x:f>D177*10000*E177</x:f>
        <x:v>1272960000</x:v>
      </x:c>
      <x:c r="H177" s="249" t="n">
        <x:f>('机会输入'!H19)*MAX(0,'机会输入'!$C$37)</x:f>
        <x:v>12.32</x:v>
      </x:c>
      <x:c r="I177" s="249" t="n">
        <x:f>H177*MAX(0,'机会输入'!H5)</x:f>
        <x:v>7.98336</x:v>
      </x:c>
      <x:c r="J177" s="250" t="n">
        <x:f>MAX(0,MIN(1,MAX(0,MIN(1,'机会输入'!H20+'规格输入'!$E$8))*MAX(0,'机会输入'!$G$37)))</x:f>
        <x:v>0.7150000000000001</x:v>
      </x:c>
      <x:c r="K177" s="249" t="n">
        <x:f>G177*I177/100000000</x:f>
        <x:v>101.624979456</x:v>
      </x:c>
      <x:c r="L177" s="249" t="n">
        <x:f>K177*J177</x:f>
        <x:v>72.66186031104002</x:v>
      </x:c>
      <x:c r="M177" s="249" t="n">
        <x:f>L177*'机会输入'!H4</x:f>
        <x:v>23.978413902643208</x:v>
      </x:c>
      <x:c r="N177" s="245"/>
    </x:row>
    <x:row r="178">
      <x:c r="A178" s="240" t="str">
        <x:v>2029E</x:v>
      </x:c>
      <x:c r="B178" s="240" t="str">
        <x:v>FAU棱镜透镜阵列</x:v>
      </x:c>
      <x:c r="C178" s="240" t="str">
        <x:v>102.4T</x:v>
      </x:c>
      <x:c r="D178" s="248" t="n">
        <x:f>'机会输入'!H16*MAX(0,'机会输入'!$B$37)*(1-MAX(0,MIN(1,'规格输入'!H6)))</x:f>
        <x:v>29.749999999999996</x:v>
      </x:c>
      <x:c r="E178" s="248" t="n">
        <x:f>'机会输入'!H21*'机会输入'!H22</x:f>
        <x:v>1152</x:v>
      </x:c>
      <x:c r="F178" s="249" t="str">
        <x:v>通道</x:v>
      </x:c>
      <x:c r="G178" s="242" t="n">
        <x:f>D178*10000*E178</x:f>
        <x:v>342719999.99999994</x:v>
      </x:c>
      <x:c r="H178" s="249" t="n">
        <x:f>('机会输入'!H23)*MAX(0,'机会输入'!$C$37)*'规格输入'!$E$7</x:f>
        <x:v>14.080000000000002</x:v>
      </x:c>
      <x:c r="I178" s="249" t="n">
        <x:f>H178*MAX(0,'机会输入'!H5)</x:f>
        <x:v>9.123840000000001</x:v>
      </x:c>
      <x:c r="J178" s="250" t="n">
        <x:f>'机会输入'!H24</x:f>
        <x:v>0.45</x:v>
      </x:c>
      <x:c r="K178" s="249" t="n">
        <x:f>G178*I178/100000000</x:f>
        <x:v>31.269224447999996</x:v>
      </x:c>
      <x:c r="L178" s="249" t="n">
        <x:f>K178*J178</x:f>
        <x:v>14.071151001599999</x:v>
      </x:c>
      <x:c r="M178" s="249" t="n">
        <x:f>L178*'机会输入'!H4</x:f>
        <x:v>4.643479830527999</x:v>
      </x:c>
      <x:c r="N178" s="245"/>
    </x:row>
    <x:row r="179">
      <x:c r="A179" s="240" t="str">
        <x:v>2029E</x:v>
      </x:c>
      <x:c r="B179" s="240" t="str">
        <x:v>FAU棱镜透镜阵列</x:v>
      </x:c>
      <x:c r="C179" s="240" t="str">
        <x:v>204.8T</x:v>
      </x:c>
      <x:c r="D179" s="248" t="n">
        <x:f>'机会输入'!H16*MAX(0,'机会输入'!$B$37)*MAX(0,MIN(1,'规格输入'!H6))</x:f>
        <x:v>55.25</x:v>
      </x:c>
      <x:c r="E179" s="248" t="n">
        <x:f>'机会输入'!H21*'规格输入'!$E$9</x:f>
        <x:v>2304</x:v>
      </x:c>
      <x:c r="F179" s="249" t="str">
        <x:v>通道</x:v>
      </x:c>
      <x:c r="G179" s="242" t="n">
        <x:f>D179*10000*E179</x:f>
        <x:v>1272960000</x:v>
      </x:c>
      <x:c r="H179" s="249" t="n">
        <x:f>('机会输入'!H23)*MAX(0,'机会输入'!$C$37)</x:f>
        <x:v>17.6</x:v>
      </x:c>
      <x:c r="I179" s="249" t="n">
        <x:f>H179*MAX(0,'机会输入'!H5)</x:f>
        <x:v>11.404800000000002</x:v>
      </x:c>
      <x:c r="J179" s="250" t="n">
        <x:f>'机会输入'!H24</x:f>
        <x:v>0.45</x:v>
      </x:c>
      <x:c r="K179" s="249" t="n">
        <x:f>G179*I179/100000000</x:f>
        <x:v>145.17854208000003</x:v>
      </x:c>
      <x:c r="L179" s="249" t="n">
        <x:f>K179*J179</x:f>
        <x:v>65.33034393600002</x:v>
      </x:c>
      <x:c r="M179" s="249" t="n">
        <x:f>L179*'机会输入'!H4</x:f>
        <x:v>21.559013498880006</x:v>
      </x:c>
      <x:c r="N179" s="245"/>
    </x:row>
    <x:row r="180">
      <x:c r="A180" s="240" t="str">
        <x:v>2029E</x:v>
      </x:c>
      <x:c r="B180" s="240" t="str">
        <x:v>ELS透镜＋热沉</x:v>
      </x:c>
      <x:c r="C180" s="240" t="str">
        <x:v>102.4T</x:v>
      </x:c>
      <x:c r="D180" s="248" t="n">
        <x:f>'机会输入'!H16*MAX(0,'机会输入'!$B$37)*(1-MAX(0,MIN(1,'规格输入'!H6)))</x:f>
        <x:v>29.749999999999996</x:v>
      </x:c>
      <x:c r="E180" s="248" t="n">
        <x:f>'机会输入'!H25</x:f>
        <x:v>128</x:v>
      </x:c>
      <x:c r="F180" s="249" t="str">
        <x:v>套光源配套</x:v>
      </x:c>
      <x:c r="G180" s="242" t="n">
        <x:f>D180*10000*E180</x:f>
        <x:v>38079999.99999999</x:v>
      </x:c>
      <x:c r="H180" s="249" t="n">
        <x:f>('机会输入'!H26+'机会输入'!H27)*MAX(0,'机会输入'!$C$37)*'规格输入'!$E$7</x:f>
        <x:v>70.4</x:v>
      </x:c>
      <x:c r="I180" s="249" t="n">
        <x:f>H180*MAX(0,'机会输入'!H5)</x:f>
        <x:v>45.619200000000006</x:v>
      </x:c>
      <x:c r="J180" s="250" t="n">
        <x:f>MAX(0,MIN(1,MAX(0,MIN(1,'机会输入'!H28))*MAX(0,'机会输入'!$G$37)))</x:f>
        <x:v>0.45833333333333337</x:v>
      </x:c>
      <x:c r="K180" s="249" t="n">
        <x:f>G180*I180/100000000</x:f>
        <x:v>17.37179136</x:v>
      </x:c>
      <x:c r="L180" s="249" t="n">
        <x:f>K180*J180</x:f>
        <x:v>7.9620710400000005</x:v>
      </x:c>
      <x:c r="M180" s="249" t="n">
        <x:f>L180*'机会输入'!H4</x:f>
        <x:v>2.6274834432000005</x:v>
      </x:c>
      <x:c r="N180" s="245"/>
    </x:row>
    <x:row r="181">
      <x:c r="A181" s="240" t="str">
        <x:v>2029E</x:v>
      </x:c>
      <x:c r="B181" s="240" t="str">
        <x:v>ELS透镜＋热沉</x:v>
      </x:c>
      <x:c r="C181" s="240" t="str">
        <x:v>204.8T</x:v>
      </x:c>
      <x:c r="D181" s="248" t="n">
        <x:f>'机会输入'!H16*MAX(0,'机会输入'!$B$37)*MAX(0,MIN(1,'规格输入'!H6))</x:f>
        <x:v>55.25</x:v>
      </x:c>
      <x:c r="E181" s="248" t="n">
        <x:f>'机会输入'!H25</x:f>
        <x:v>128</x:v>
      </x:c>
      <x:c r="F181" s="249" t="str">
        <x:v>套光源配套</x:v>
      </x:c>
      <x:c r="G181" s="242" t="n">
        <x:f>D181*10000*E181</x:f>
        <x:v>70720000</x:v>
      </x:c>
      <x:c r="H181" s="249" t="n">
        <x:f>('机会输入'!H26+'机会输入'!H27)*MAX(0,'机会输入'!$C$37)</x:f>
        <x:v>88</x:v>
      </x:c>
      <x:c r="I181" s="249" t="n">
        <x:f>H181*MAX(0,'机会输入'!H5)</x:f>
        <x:v>57.024</x:v>
      </x:c>
      <x:c r="J181" s="250" t="n">
        <x:f>MAX(0,MIN(1,MAX(0,MIN(1,'机会输入'!H28+'规格输入'!$E$8))*MAX(0,'机会输入'!$G$37)))</x:f>
        <x:v>0.5133333333333334</x:v>
      </x:c>
      <x:c r="K181" s="249" t="n">
        <x:f>G181*I181/100000000</x:f>
        <x:v>40.3273728</x:v>
      </x:c>
      <x:c r="L181" s="249" t="n">
        <x:f>K181*J181</x:f>
        <x:v>20.701384704000002</x:v>
      </x:c>
      <x:c r="M181" s="249" t="n">
        <x:f>L181*'机会输入'!H4</x:f>
        <x:v>6.831456952320001</x:v>
      </x:c>
      <x:c r="N181" s="245"/>
    </x:row>
    <x:row r="182">
      <x:c r="A182" s="240" t="str">
        <x:v>2029E</x:v>
      </x:c>
      <x:c r="B182" s="240" t="str">
        <x:v>FAU关键尺寸量测设备</x:v>
      </x:c>
      <x:c r="C182" s="240" t="str">
        <x:v>102.4T</x:v>
      </x:c>
      <x:c r="D182" s="248" t="n">
        <x:f>'机会输入'!H16*MAX(0,'机会输入'!$B$37)*(1-MAX(0,MIN(1,'规格输入'!H6)))</x:f>
        <x:v>29.749999999999996</x:v>
      </x:c>
      <x:c r="E182" s="248" t="n">
        <x:f>'机会输入'!H17/'规格输入'!$E$10</x:f>
        <x:v>0.032</x:v>
      </x:c>
      <x:c r="F182" s="249" t="str">
        <x:v>台设备</x:v>
      </x:c>
      <x:c r="G182" s="242" t="n">
        <x:f>D182*10000*E182</x:f>
        <x:v>9519.999999999998</x:v>
      </x:c>
      <x:c r="H182" s="249" t="n">
        <x:f>('机会输入'!H30)*MAX(0,'机会输入'!$C$37)*'规格输入'!$E$7</x:f>
        <x:v>70400</x:v>
      </x:c>
      <x:c r="I182" s="249" t="n">
        <x:f>H182</x:f>
        <x:v>70400</x:v>
      </x:c>
      <x:c r="J182" s="250" t="n">
        <x:f>MAX(0,MIN(1,MAX(0,MIN(1,'机会输入'!H31))*MAX(0,'机会输入'!$G$37)))</x:f>
        <x:v>0.55</x:v>
      </x:c>
      <x:c r="K182" s="249" t="n">
        <x:f>G182*I182/100000000</x:f>
        <x:v>6.702079999999999</x:v>
      </x:c>
      <x:c r="L182" s="249" t="n">
        <x:f>K182*J182</x:f>
        <x:v>3.6861439999999996</x:v>
      </x:c>
      <x:c r="M182" s="249" t="n">
        <x:f>L182*'机会输入'!H4</x:f>
        <x:v>1.2164275199999999</x:v>
      </x:c>
      <x:c r="N182" s="245"/>
    </x:row>
    <x:row r="183">
      <x:c r="A183" s="240" t="str">
        <x:v>2029E</x:v>
      </x:c>
      <x:c r="B183" s="240" t="str">
        <x:v>FAU关键尺寸量测设备</x:v>
      </x:c>
      <x:c r="C183" s="240" t="str">
        <x:v>204.8T</x:v>
      </x:c>
      <x:c r="D183" s="248" t="n">
        <x:f>'机会输入'!H16*MAX(0,'机会输入'!$B$37)*MAX(0,MIN(1,'规格输入'!H6))</x:f>
        <x:v>55.25</x:v>
      </x:c>
      <x:c r="E183" s="248" t="n">
        <x:f>'机会输入'!H17/'规格输入'!$E$10</x:f>
        <x:v>0.032</x:v>
      </x:c>
      <x:c r="F183" s="249" t="str">
        <x:v>台设备</x:v>
      </x:c>
      <x:c r="G183" s="242" t="n">
        <x:f>D183*10000*E183</x:f>
        <x:v>17680</x:v>
      </x:c>
      <x:c r="H183" s="249" t="n">
        <x:f>('机会输入'!H30)*MAX(0,'机会输入'!$C$37)</x:f>
        <x:v>88000</x:v>
      </x:c>
      <x:c r="I183" s="249" t="n">
        <x:f>H183</x:f>
        <x:v>88000</x:v>
      </x:c>
      <x:c r="J183" s="250" t="n">
        <x:f>MAX(0,MIN(1,MAX(0,MIN(1,'机会输入'!H31+'规格输入'!$E$8))*MAX(0,'机会输入'!$G$37)))</x:f>
        <x:v>0.6050000000000001</x:v>
      </x:c>
      <x:c r="K183" s="249" t="n">
        <x:f>G183*I183/100000000</x:f>
        <x:v>15.5584</x:v>
      </x:c>
      <x:c r="L183" s="249" t="n">
        <x:f>K183*J183</x:f>
        <x:v>9.412832000000002</x:v>
      </x:c>
      <x:c r="M183" s="249" t="n">
        <x:f>L183*'机会输入'!H4</x:f>
        <x:v>3.1062345600000008</x:v>
      </x:c>
      <x:c r="N183" s="245"/>
    </x:row>
    <x:row r="184">
      <x:c r="A184" s="240" t="str">
        <x:v>2030E</x:v>
      </x:c>
      <x:c r="B184" s="240" t="str">
        <x:v>800G可插拔透镜</x:v>
      </x:c>
      <x:c r="C184" s="240" t="str">
        <x:v>800G</x:v>
      </x:c>
      <x:c r="D184" s="248" t="n">
        <x:f>'机会输入'!I7*MAX(0,'机会输入'!$B$37)*1</x:f>
        <x:v>1800</x:v>
      </x:c>
      <x:c r="E184" s="248" t="n">
        <x:f>'机会输入'!I6</x:f>
        <x:v>10</x:v>
      </x:c>
      <x:c r="F184" s="249" t="str">
        <x:v>只透镜</x:v>
      </x:c>
      <x:c r="G184" s="242" t="n">
        <x:f>D184*10000*E184</x:f>
        <x:v>180000000</x:v>
      </x:c>
      <x:c r="H184" s="249" t="n">
        <x:f>('机会输入'!I8)*MAX(0,'机会输入'!$C$37)</x:f>
        <x:v>4.4</x:v>
      </x:c>
      <x:c r="I184" s="249" t="n">
        <x:f>H184*MAX(0,'机会输入'!I32)</x:f>
        <x:v>2.8868400000000003</x:v>
      </x:c>
      <x:c r="J184" s="250" t="n">
        <x:f>MAX(0,MIN(1,MAX(0,MIN(1,'机会输入'!I11))*MAX(0,'机会输入'!$H$37)))</x:f>
        <x:v>0.11000000000000001</x:v>
      </x:c>
      <x:c r="K184" s="249" t="n">
        <x:f>G184*I184/100000000</x:f>
        <x:v>5.196312000000001</x:v>
      </x:c>
      <x:c r="L184" s="249" t="n">
        <x:f>K184*J184</x:f>
        <x:v>0.5715943200000001</x:v>
      </x:c>
      <x:c r="M184" s="249" t="n">
        <x:f>L184*'机会输入'!I4</x:f>
        <x:v>0.18862612560000006</x:v>
      </x:c>
      <x:c r="N184" s="245"/>
    </x:row>
    <x:row r="185">
      <x:c r="A185" s="240" t="str">
        <x:v>2030E</x:v>
      </x:c>
      <x:c r="B185" s="240" t="str">
        <x:v>1.6T可插拔透镜</x:v>
      </x:c>
      <x:c r="C185" s="240" t="str">
        <x:v>1.6T</x:v>
      </x:c>
      <x:c r="D185" s="248" t="n">
        <x:f>'机会输入'!I9*MAX(0,'机会输入'!$B$37)*1</x:f>
        <x:v>16000</x:v>
      </x:c>
      <x:c r="E185" s="248" t="n">
        <x:f>'机会输入'!I6</x:f>
        <x:v>10</x:v>
      </x:c>
      <x:c r="F185" s="249" t="str">
        <x:v>只透镜</x:v>
      </x:c>
      <x:c r="G185" s="242" t="n">
        <x:f>D185*10000*E185</x:f>
        <x:v>1600000000</x:v>
      </x:c>
      <x:c r="H185" s="249" t="n">
        <x:f>('机会输入'!I10)*MAX(0,'机会输入'!$C$37)</x:f>
        <x:v>6.16</x:v>
      </x:c>
      <x:c r="I185" s="249" t="n">
        <x:f>H185*MAX(0,'机会输入'!I32)</x:f>
        <x:v>4.041576</x:v>
      </x:c>
      <x:c r="J185" s="250" t="n">
        <x:f>MAX(0,MIN(1,MAX(0,MIN(1,'机会输入'!I11))*MAX(0,'机会输入'!$H$37)))</x:f>
        <x:v>0.11000000000000001</x:v>
      </x:c>
      <x:c r="K185" s="249" t="n">
        <x:f>G185*I185/100000000</x:f>
        <x:v>64.665216</x:v>
      </x:c>
      <x:c r="L185" s="249" t="n">
        <x:f>K185*J185</x:f>
        <x:v>7.113173760000001</x:v>
      </x:c>
      <x:c r="M185" s="249" t="n">
        <x:f>L185*'机会输入'!I4</x:f>
        <x:v>2.3473473408000007</x:v>
      </x:c>
      <x:c r="N185" s="245"/>
    </x:row>
    <x:row r="186">
      <x:c r="A186" s="240" t="str">
        <x:v>2030E</x:v>
      </x:c>
      <x:c r="B186" s="240" t="str">
        <x:v>OCS NxN透镜阵列</x:v>
      </x:c>
      <x:c r="C186" s="240" t="str">
        <x:v>小端口参考系统</x:v>
      </x:c>
      <x:c r="D186" s="248" t="n">
        <x:f>'机会输入'!I12*MAX(0,'机会输入'!$B$37)*(1-MAX(0,MIN(1,'规格输入'!I5)))</x:f>
        <x:v>11.25</x:v>
      </x:c>
      <x:c r="E186" s="248" t="n">
        <x:f>'规格输入'!$E$4</x:f>
        <x:v>256</x:v>
      </x:c>
      <x:c r="F186" s="249" t="str">
        <x:v>总光通道</x:v>
      </x:c>
      <x:c r="G186" s="242" t="n">
        <x:f>D186*10000*E186</x:f>
        <x:v>28800000</x:v>
      </x:c>
      <x:c r="H186" s="249" t="n">
        <x:f>'规格输入'!$M$7</x:f>
        <x:v>25</x:v>
      </x:c>
      <x:c r="I186" s="249" t="n">
        <x:f>H186*MAX(0,'机会输入'!I5)</x:f>
        <x:v>14.580000000000002</x:v>
      </x:c>
      <x:c r="J186" s="250" t="n">
        <x:f>MAX(0,MIN(1,MAX(0,MIN(1,'机会输入'!I15))*MAX(0,'机会输入'!$H$37)))</x:f>
        <x:v>0.66</x:v>
      </x:c>
      <x:c r="K186" s="249" t="n">
        <x:f>G186*I186/100000000</x:f>
        <x:v>4.199040000000001</x:v>
      </x:c>
      <x:c r="L186" s="249" t="n">
        <x:f>K186*J186</x:f>
        <x:v>2.7713664000000007</x:v>
      </x:c>
      <x:c r="M186" s="249" t="n">
        <x:f>L186*'机会输入'!I4</x:f>
        <x:v>0.9145509120000003</x:v>
      </x:c>
      <x:c r="N186" s="245"/>
    </x:row>
    <x:row r="187">
      <x:c r="A187" s="240" t="str">
        <x:v>2030E</x:v>
      </x:c>
      <x:c r="B187" s="240" t="str">
        <x:v>OCS NxN透镜阵列</x:v>
      </x:c>
      <x:c r="C187" s="240" t="str">
        <x:v>大端口320×320</x:v>
      </x:c>
      <x:c r="D187" s="248" t="n">
        <x:f>'机会输入'!I12*MAX(0,'机会输入'!$B$37)*MAX(0,MIN(1,'规格输入'!I5))</x:f>
        <x:v>33.75</x:v>
      </x:c>
      <x:c r="E187" s="248" t="n">
        <x:f>'机会输入'!I13</x:f>
        <x:v>640</x:v>
      </x:c>
      <x:c r="F187" s="249" t="str">
        <x:v>总光通道</x:v>
      </x:c>
      <x:c r="G187" s="242" t="n">
        <x:f>D187*10000*E187</x:f>
        <x:v>216000000</x:v>
      </x:c>
      <x:c r="H187" s="249" t="n">
        <x:f>'机会输入'!$I$37</x:f>
        <x:v>50</x:v>
      </x:c>
      <x:c r="I187" s="249" t="n">
        <x:f>H187*MAX(0,'机会输入'!I5)</x:f>
        <x:v>29.160000000000004</x:v>
      </x:c>
      <x:c r="J187" s="250" t="n">
        <x:f>MAX(0,MIN(1,MAX(0,MIN(1,'机会输入'!I15+'规格输入'!$E$8))*MAX(0,'机会输入'!$H$37)))</x:f>
        <x:v>0.7150000000000001</x:v>
      </x:c>
      <x:c r="K187" s="249" t="n">
        <x:f>G187*I187/100000000</x:f>
        <x:v>62.98560000000001</x:v>
      </x:c>
      <x:c r="L187" s="249" t="n">
        <x:f>K187*J187</x:f>
        <x:v>45.03470400000001</x:v>
      </x:c>
      <x:c r="M187" s="249" t="n">
        <x:f>L187*'机会输入'!I4</x:f>
        <x:v>14.861452320000005</x:v>
      </x:c>
      <x:c r="N187" s="245"/>
    </x:row>
    <x:row r="188">
      <x:c r="A188" s="240" t="str">
        <x:v>2030E</x:v>
      </x:c>
      <x:c r="B188" s="240" t="str">
        <x:v>FAU V型槽</x:v>
      </x:c>
      <x:c r="C188" s="240" t="str">
        <x:v>102.4T</x:v>
      </x:c>
      <x:c r="D188" s="248" t="n">
        <x:f>'机会输入'!I16*MAX(0,'机会输入'!$B$37)*(1-MAX(0,MIN(1,'规格输入'!I6)))</x:f>
        <x:v>23.999999999999993</x:v>
      </x:c>
      <x:c r="E188" s="248" t="n">
        <x:f>'机会输入'!I17*'机会输入'!I18</x:f>
        <x:v>1152</x:v>
      </x:c>
      <x:c r="F188" s="249" t="str">
        <x:v>通道</x:v>
      </x:c>
      <x:c r="G188" s="242" t="n">
        <x:f>D188*10000*E188</x:f>
        <x:v>276479999.99999994</x:v>
      </x:c>
      <x:c r="H188" s="249" t="n">
        <x:f>('机会输入'!I19)*MAX(0,'机会输入'!$C$37)*'规格输入'!$E$7</x:f>
        <x:v>9.856000000000002</x:v>
      </x:c>
      <x:c r="I188" s="249" t="n">
        <x:f>H188*MAX(0,'机会输入'!I5)</x:f>
        <x:v>5.748019200000002</x:v>
      </x:c>
      <x:c r="J188" s="250" t="n">
        <x:f>MAX(0,MIN(1,MAX(0,MIN(1,'机会输入'!I20))*MAX(0,'机会输入'!$H$37)))</x:f>
        <x:v>0.7150000000000001</x:v>
      </x:c>
      <x:c r="K188" s="249" t="n">
        <x:f>G188*I188/100000000</x:f>
        <x:v>15.89212348416</x:v>
      </x:c>
      <x:c r="L188" s="249" t="n">
        <x:f>K188*J188</x:f>
        <x:v>11.362868291174403</x:v>
      </x:c>
      <x:c r="M188" s="249" t="n">
        <x:f>L188*'机会输入'!I4</x:f>
        <x:v>3.749746536087553</x:v>
      </x:c>
      <x:c r="N188" s="245"/>
    </x:row>
    <x:row r="189">
      <x:c r="A189" s="240" t="str">
        <x:v>2030E</x:v>
      </x:c>
      <x:c r="B189" s="240" t="str">
        <x:v>FAU V型槽</x:v>
      </x:c>
      <x:c r="C189" s="240" t="str">
        <x:v>204.8T</x:v>
      </x:c>
      <x:c r="D189" s="248" t="n">
        <x:f>'机会输入'!I16*MAX(0,'机会输入'!$B$37)*MAX(0,MIN(1,'规格输入'!I6))</x:f>
        <x:v>96</x:v>
      </x:c>
      <x:c r="E189" s="248" t="n">
        <x:f>'机会输入'!I17*'规格输入'!$E$9</x:f>
        <x:v>2304</x:v>
      </x:c>
      <x:c r="F189" s="249" t="str">
        <x:v>通道</x:v>
      </x:c>
      <x:c r="G189" s="242" t="n">
        <x:f>D189*10000*E189</x:f>
        <x:v>2211840000</x:v>
      </x:c>
      <x:c r="H189" s="249" t="n">
        <x:f>('机会输入'!I19)*MAX(0,'机会输入'!$C$37)</x:f>
        <x:v>12.32</x:v>
      </x:c>
      <x:c r="I189" s="249" t="n">
        <x:f>H189*MAX(0,'机会输入'!I5)</x:f>
        <x:v>7.185024000000001</x:v>
      </x:c>
      <x:c r="J189" s="250" t="n">
        <x:f>MAX(0,MIN(1,MAX(0,MIN(1,'机会输入'!I20+'规格输入'!$E$8))*MAX(0,'机会输入'!$H$37)))</x:f>
        <x:v>0.7700000000000001</x:v>
      </x:c>
      <x:c r="K189" s="249" t="n">
        <x:f>G189*I189/100000000</x:f>
        <x:v>158.9212348416</x:v>
      </x:c>
      <x:c r="L189" s="249" t="n">
        <x:f>K189*J189</x:f>
        <x:v>122.36935082803203</x:v>
      </x:c>
      <x:c r="M189" s="249" t="n">
        <x:f>L189*'机会输入'!I4</x:f>
        <x:v>40.38188577325057</x:v>
      </x:c>
      <x:c r="N189" s="245"/>
    </x:row>
    <x:row r="190">
      <x:c r="A190" s="240" t="str">
        <x:v>2030E</x:v>
      </x:c>
      <x:c r="B190" s="240" t="str">
        <x:v>FAU棱镜透镜阵列</x:v>
      </x:c>
      <x:c r="C190" s="240" t="str">
        <x:v>102.4T</x:v>
      </x:c>
      <x:c r="D190" s="248" t="n">
        <x:f>'机会输入'!I16*MAX(0,'机会输入'!$B$37)*(1-MAX(0,MIN(1,'规格输入'!I6)))</x:f>
        <x:v>23.999999999999993</x:v>
      </x:c>
      <x:c r="E190" s="248" t="n">
        <x:f>'机会输入'!I21*'机会输入'!I22</x:f>
        <x:v>1152</x:v>
      </x:c>
      <x:c r="F190" s="249" t="str">
        <x:v>通道</x:v>
      </x:c>
      <x:c r="G190" s="242" t="n">
        <x:f>D190*10000*E190</x:f>
        <x:v>276479999.99999994</x:v>
      </x:c>
      <x:c r="H190" s="249" t="n">
        <x:f>('机会输入'!I23)*MAX(0,'机会输入'!$C$37)*'规格输入'!$E$7</x:f>
        <x:v>14.080000000000002</x:v>
      </x:c>
      <x:c r="I190" s="249" t="n">
        <x:f>H190*MAX(0,'机会输入'!I5)</x:f>
        <x:v>8.211456000000002</x:v>
      </x:c>
      <x:c r="J190" s="250" t="n">
        <x:f>'机会输入'!I24</x:f>
        <x:v>0.45</x:v>
      </x:c>
      <x:c r="K190" s="249" t="n">
        <x:f>G190*I190/100000000</x:f>
        <x:v>22.7030335488</x:v>
      </x:c>
      <x:c r="L190" s="249" t="n">
        <x:f>K190*J190</x:f>
        <x:v>10.21636509696</x:v>
      </x:c>
      <x:c r="M190" s="249" t="n">
        <x:f>L190*'机会输入'!I4</x:f>
        <x:v>3.3714004819968</x:v>
      </x:c>
      <x:c r="N190" s="245"/>
    </x:row>
    <x:row r="191">
      <x:c r="A191" s="240" t="str">
        <x:v>2030E</x:v>
      </x:c>
      <x:c r="B191" s="240" t="str">
        <x:v>FAU棱镜透镜阵列</x:v>
      </x:c>
      <x:c r="C191" s="240" t="str">
        <x:v>204.8T</x:v>
      </x:c>
      <x:c r="D191" s="248" t="n">
        <x:f>'机会输入'!I16*MAX(0,'机会输入'!$B$37)*MAX(0,MIN(1,'规格输入'!I6))</x:f>
        <x:v>96</x:v>
      </x:c>
      <x:c r="E191" s="248" t="n">
        <x:f>'机会输入'!I21*'规格输入'!$E$9</x:f>
        <x:v>2304</x:v>
      </x:c>
      <x:c r="F191" s="249" t="str">
        <x:v>通道</x:v>
      </x:c>
      <x:c r="G191" s="242" t="n">
        <x:f>D191*10000*E191</x:f>
        <x:v>2211840000</x:v>
      </x:c>
      <x:c r="H191" s="249" t="n">
        <x:f>('机会输入'!I23)*MAX(0,'机会输入'!$C$37)</x:f>
        <x:v>17.6</x:v>
      </x:c>
      <x:c r="I191" s="249" t="n">
        <x:f>H191*MAX(0,'机会输入'!I5)</x:f>
        <x:v>10.264320000000001</x:v>
      </x:c>
      <x:c r="J191" s="250" t="n">
        <x:f>'机会输入'!I24</x:f>
        <x:v>0.45</x:v>
      </x:c>
      <x:c r="K191" s="249" t="n">
        <x:f>G191*I191/100000000</x:f>
        <x:v>227.03033548800002</x:v>
      </x:c>
      <x:c r="L191" s="249" t="n">
        <x:f>K191*J191</x:f>
        <x:v>102.16365096960001</x:v>
      </x:c>
      <x:c r="M191" s="249" t="n">
        <x:f>L191*'机会输入'!I4</x:f>
        <x:v>33.714004819968004</x:v>
      </x:c>
      <x:c r="N191" s="245"/>
    </x:row>
    <x:row r="192">
      <x:c r="A192" s="240" t="str">
        <x:v>2030E</x:v>
      </x:c>
      <x:c r="B192" s="240" t="str">
        <x:v>ELS透镜＋热沉</x:v>
      </x:c>
      <x:c r="C192" s="240" t="str">
        <x:v>102.4T</x:v>
      </x:c>
      <x:c r="D192" s="248" t="n">
        <x:f>'机会输入'!I16*MAX(0,'机会输入'!$B$37)*(1-MAX(0,MIN(1,'规格输入'!I6)))</x:f>
        <x:v>23.999999999999993</x:v>
      </x:c>
      <x:c r="E192" s="248" t="n">
        <x:f>'机会输入'!I25</x:f>
        <x:v>128</x:v>
      </x:c>
      <x:c r="F192" s="249" t="str">
        <x:v>套光源配套</x:v>
      </x:c>
      <x:c r="G192" s="242" t="n">
        <x:f>D192*10000*E192</x:f>
        <x:v>30719999.999999993</x:v>
      </x:c>
      <x:c r="H192" s="249" t="n">
        <x:f>('机会输入'!I26+'机会输入'!I27)*MAX(0,'机会输入'!$C$37)*'规格输入'!$E$7</x:f>
        <x:v>70.4</x:v>
      </x:c>
      <x:c r="I192" s="249" t="n">
        <x:f>H192*MAX(0,'机会输入'!I5)</x:f>
        <x:v>41.057280000000006</x:v>
      </x:c>
      <x:c r="J192" s="250" t="n">
        <x:f>MAX(0,MIN(1,MAX(0,MIN(1,'机会输入'!I28))*MAX(0,'机会输入'!$H$37)))</x:f>
        <x:v>0.44000000000000006</x:v>
      </x:c>
      <x:c r="K192" s="249" t="n">
        <x:f>G192*I192/100000000</x:f>
        <x:v>12.612796415999998</x:v>
      </x:c>
      <x:c r="L192" s="249" t="n">
        <x:f>K192*J192</x:f>
        <x:v>5.54963042304</x:v>
      </x:c>
      <x:c r="M192" s="249" t="n">
        <x:f>L192*'机会输入'!I4</x:f>
        <x:v>1.8313780396032</x:v>
      </x:c>
      <x:c r="N192" s="245"/>
    </x:row>
    <x:row r="193">
      <x:c r="A193" s="240" t="str">
        <x:v>2030E</x:v>
      </x:c>
      <x:c r="B193" s="240" t="str">
        <x:v>ELS透镜＋热沉</x:v>
      </x:c>
      <x:c r="C193" s="240" t="str">
        <x:v>204.8T</x:v>
      </x:c>
      <x:c r="D193" s="248" t="n">
        <x:f>'机会输入'!I16*MAX(0,'机会输入'!$B$37)*MAX(0,MIN(1,'规格输入'!I6))</x:f>
        <x:v>96</x:v>
      </x:c>
      <x:c r="E193" s="248" t="n">
        <x:f>'机会输入'!I25</x:f>
        <x:v>128</x:v>
      </x:c>
      <x:c r="F193" s="249" t="str">
        <x:v>套光源配套</x:v>
      </x:c>
      <x:c r="G193" s="242" t="n">
        <x:f>D193*10000*E193</x:f>
        <x:v>122880000</x:v>
      </x:c>
      <x:c r="H193" s="249" t="n">
        <x:f>('机会输入'!I26+'机会输入'!I27)*MAX(0,'机会输入'!$C$37)</x:f>
        <x:v>88</x:v>
      </x:c>
      <x:c r="I193" s="249" t="n">
        <x:f>H193*MAX(0,'机会输入'!I5)</x:f>
        <x:v>51.321600000000004</x:v>
      </x:c>
      <x:c r="J193" s="250" t="n">
        <x:f>MAX(0,MIN(1,MAX(0,MIN(1,'机会输入'!I28+'规格输入'!$E$8))*MAX(0,'机会输入'!$H$37)))</x:f>
        <x:v>0.49500000000000005</x:v>
      </x:c>
      <x:c r="K193" s="249" t="n">
        <x:f>G193*I193/100000000</x:f>
        <x:v>63.06398208</x:v>
      </x:c>
      <x:c r="L193" s="249" t="n">
        <x:f>K193*J193</x:f>
        <x:v>31.216671129600005</x:v>
      </x:c>
      <x:c r="M193" s="249" t="n">
        <x:f>L193*'机会输入'!I4</x:f>
        <x:v>10.301501472768003</x:v>
      </x:c>
      <x:c r="N193" s="245"/>
    </x:row>
    <x:row r="194">
      <x:c r="A194" s="240" t="str">
        <x:v>2030E</x:v>
      </x:c>
      <x:c r="B194" s="240" t="str">
        <x:v>FAU关键尺寸量测设备</x:v>
      </x:c>
      <x:c r="C194" s="240" t="str">
        <x:v>102.4T</x:v>
      </x:c>
      <x:c r="D194" s="248" t="n">
        <x:f>'机会输入'!I16*MAX(0,'机会输入'!$B$37)*(1-MAX(0,MIN(1,'规格输入'!I6)))</x:f>
        <x:v>23.999999999999993</x:v>
      </x:c>
      <x:c r="E194" s="248" t="n">
        <x:f>'机会输入'!I17/'规格输入'!$E$10</x:f>
        <x:v>0.032</x:v>
      </x:c>
      <x:c r="F194" s="249" t="str">
        <x:v>台设备</x:v>
      </x:c>
      <x:c r="G194" s="242" t="n">
        <x:f>D194*10000*E194</x:f>
        <x:v>7679.999999999998</x:v>
      </x:c>
      <x:c r="H194" s="249" t="n">
        <x:f>('机会输入'!I30)*MAX(0,'机会输入'!$C$37)*'规格输入'!$E$7</x:f>
        <x:v>70400</x:v>
      </x:c>
      <x:c r="I194" s="249" t="n">
        <x:f>H194</x:f>
        <x:v>70400</x:v>
      </x:c>
      <x:c r="J194" s="250" t="n">
        <x:f>MAX(0,MIN(1,MAX(0,MIN(1,'机会输入'!I31))*MAX(0,'机会输入'!$H$37)))</x:f>
        <x:v>0.6050000000000001</x:v>
      </x:c>
      <x:c r="K194" s="249" t="n">
        <x:f>G194*I194/100000000</x:f>
        <x:v>5.406719999999999</x:v>
      </x:c>
      <x:c r="L194" s="249" t="n">
        <x:f>K194*J194</x:f>
        <x:v>3.2710656</x:v>
      </x:c>
      <x:c r="M194" s="249" t="n">
        <x:f>L194*'机会输入'!I4</x:f>
        <x:v>1.079451648</x:v>
      </x:c>
      <x:c r="N194" s="245"/>
    </x:row>
    <x:row r="195">
      <x:c r="A195" s="240" t="str">
        <x:v>2030E</x:v>
      </x:c>
      <x:c r="B195" s="240" t="str">
        <x:v>FAU关键尺寸量测设备</x:v>
      </x:c>
      <x:c r="C195" s="240" t="str">
        <x:v>204.8T</x:v>
      </x:c>
      <x:c r="D195" s="248" t="n">
        <x:f>'机会输入'!I16*MAX(0,'机会输入'!$B$37)*MAX(0,MIN(1,'规格输入'!I6))</x:f>
        <x:v>96</x:v>
      </x:c>
      <x:c r="E195" s="248" t="n">
        <x:f>'机会输入'!I17/'规格输入'!$E$10</x:f>
        <x:v>0.032</x:v>
      </x:c>
      <x:c r="F195" s="249" t="str">
        <x:v>台设备</x:v>
      </x:c>
      <x:c r="G195" s="242" t="n">
        <x:f>D195*10000*E195</x:f>
        <x:v>30720</x:v>
      </x:c>
      <x:c r="H195" s="249" t="n">
        <x:f>('机会输入'!I30)*MAX(0,'机会输入'!$C$37)</x:f>
        <x:v>88000</x:v>
      </x:c>
      <x:c r="I195" s="249" t="n">
        <x:f>H195</x:f>
        <x:v>88000</x:v>
      </x:c>
      <x:c r="J195" s="250" t="n">
        <x:f>MAX(0,MIN(1,MAX(0,MIN(1,'机会输入'!I31+'规格输入'!$E$8))*MAX(0,'机会输入'!$H$37)))</x:f>
        <x:v>0.6600000000000001</x:v>
      </x:c>
      <x:c r="K195" s="249" t="n">
        <x:f>G195*I195/100000000</x:f>
        <x:v>27.0336</x:v>
      </x:c>
      <x:c r="L195" s="249" t="n">
        <x:f>K195*J195</x:f>
        <x:v>17.842176000000002</x:v>
      </x:c>
      <x:c r="M195" s="249" t="n">
        <x:f>L195*'机会输入'!I4</x:f>
        <x:v>5.887918080000001</x:v>
      </x:c>
      <x:c r="N195" s="245"/>
    </x:row>
    <x:row r="196">
      <x:c r="A196" s="245"/>
      <x:c r="B196" s="245"/>
      <x:c r="C196" s="245"/>
      <x:c r="D196" s="245"/>
      <x:c r="E196" s="245"/>
      <x:c r="F196" s="245"/>
      <x:c r="G196" s="245"/>
      <x:c r="H196" s="245"/>
      <x:c r="I196" s="245"/>
      <x:c r="J196" s="245"/>
      <x:c r="K196" s="245"/>
      <x:c r="L196" s="245"/>
      <x:c r="M196" s="245"/>
      <x:c r="N196" s="245"/>
    </x:row>
  </x:sheetData>
  <x:mergeCells>
    <x:mergeCell ref="A1:M1"/>
    <x:mergeCell ref="A2:M2"/>
    <x:mergeCell ref="A4:M4"/>
    <x:mergeCell ref="A69:M69"/>
    <x:mergeCell ref="A134:M134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3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2" customHeight="1">
      <x:c r="A1" s="172" t="str">
        <x:v>CPO / NPO共同器件：3.2T等效光引擎法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245"/>
    </x:row>
    <x:row r="2" ht="28" customHeight="1">
      <x:c r="A2" s="174" t="str">
        <x:v>独立参考口径，不与主模型叠加。沿用可插拔、OCS与收入兑现率，仅替换CPO/NPO器件需求的计量基础。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245"/>
    </x:row>
    <x:row r="3">
      <x:c r="A3" s="176" t="str">
        <x:v>输入</x:v>
      </x:c>
      <x:c r="B3" s="176" t="str">
        <x:v>单位</x:v>
      </x:c>
      <x:c r="C3" s="176" t="str">
        <x:v>2026E</x:v>
      </x:c>
      <x:c r="D3" s="176" t="str">
        <x:v>2027E</x:v>
      </x:c>
      <x:c r="E3" s="176" t="str">
        <x:v>2028E</x:v>
      </x:c>
      <x:c r="F3" s="176" t="str">
        <x:v>2029E</x:v>
      </x:c>
      <x:c r="G3" s="176" t="str">
        <x:v>2030E</x:v>
      </x:c>
      <x:c r="H3" s="176" t="str">
        <x:v>依据</x:v>
      </x:c>
      <x:c r="I3" s="245"/>
      <x:c r="J3" s="245"/>
      <x:c r="K3" s="245"/>
      <x:c r="L3" s="245"/>
      <x:c r="M3" s="245"/>
    </x:row>
    <x:row r="4">
      <x:c r="A4" s="240" t="str">
        <x:v>3.2T光学单元量（光引擎参考）</x:v>
      </x:c>
      <x:c r="B4" s="240" t="str">
        <x:v>万个</x:v>
      </x:c>
      <x:c r="C4" s="205" t="n">
        <x:f>'行业趋势'!H6*100</x:f>
        <x:v>64</x:v>
      </x:c>
      <x:c r="D4" s="205" t="n">
        <x:f>'行业趋势'!H7*100</x:f>
        <x:v>400</x:v>
      </x:c>
      <x:c r="E4" s="205" t="n">
        <x:f>'行业趋势'!H8*100</x:f>
        <x:v>1194</x:v>
      </x:c>
      <x:c r="F4" s="205" t="n">
        <x:f>'行业趋势'!H9*100</x:f>
        <x:v>3818</x:v>
      </x:c>
      <x:c r="G4" s="205" t="n">
        <x:f>'行业趋势'!H10*100</x:f>
        <x:v>8922</x:v>
      </x:c>
      <x:c r="H4" s="240" t="str">
        <x:v>以年度3.2T光学单元量作为光引擎法唯一需求基数，乘一次行业需求情景系数，再按每单元1个36通道FAU、每2单元1个ELSFP映射器件需求。原交换系统法与带宽法仅作对照，不与本基数相加；参考收入不纳入公司整体预测。</x:v>
      </x:c>
      <x:c r="I4" s="245"/>
      <x:c r="J4" s="245"/>
      <x:c r="K4" s="245"/>
      <x:c r="L4" s="245"/>
      <x:c r="M4" s="245"/>
    </x:row>
    <x:row r="5">
      <x:c r="A5" s="240" t="str">
        <x:v>单OE配置FAU</x:v>
      </x:c>
      <x:c r="B5" s="240" t="str">
        <x:v>只/OE</x:v>
      </x:c>
      <x:c r="C5" s="203" t="n">
        <x:v>1</x:v>
      </x:c>
      <x:c r="D5" s="205" t="n">
        <x:f>$C$5</x:f>
        <x:v>1</x:v>
      </x:c>
      <x:c r="E5" s="205" t="n">
        <x:f>$C$5</x:f>
        <x:v>1</x:v>
      </x:c>
      <x:c r="F5" s="205" t="n">
        <x:f>$C$5</x:f>
        <x:v>1</x:v>
      </x:c>
      <x:c r="G5" s="205" t="n">
        <x:f>$C$5</x:f>
        <x:v>1</x:v>
      </x:c>
      <x:c r="H5" s="240" t="str">
        <x:v>3.2T等效OE与FAU配置</x:v>
      </x:c>
      <x:c r="I5" s="245"/>
      <x:c r="J5" s="245"/>
      <x:c r="K5" s="245"/>
      <x:c r="L5" s="245"/>
      <x:c r="M5" s="245"/>
    </x:row>
    <x:row r="6">
      <x:c r="A6" s="240" t="str">
        <x:v>单FAU光通道</x:v>
      </x:c>
      <x:c r="B6" s="240" t="str">
        <x:v>通道/只</x:v>
      </x:c>
      <x:c r="C6" s="203" t="n">
        <x:v>36</x:v>
      </x:c>
      <x:c r="D6" s="205" t="n">
        <x:f>$C$6</x:f>
        <x:v>36</x:v>
      </x:c>
      <x:c r="E6" s="205" t="n">
        <x:f>$C$6</x:f>
        <x:v>36</x:v>
      </x:c>
      <x:c r="F6" s="205" t="n">
        <x:f>$C$6</x:f>
        <x:v>36</x:v>
      </x:c>
      <x:c r="G6" s="205" t="n">
        <x:f>$C$6</x:f>
        <x:v>36</x:v>
      </x:c>
      <x:c r="H6" s="240" t="str">
        <x:v>36通道FAU参考结构</x:v>
      </x:c>
      <x:c r="I6" s="245"/>
      <x:c r="J6" s="245"/>
      <x:c r="K6" s="245"/>
      <x:c r="L6" s="245"/>
      <x:c r="M6" s="245"/>
    </x:row>
    <x:row r="7">
      <x:c r="A7" s="240" t="str">
        <x:v>单ELSFP配套OE</x:v>
      </x:c>
      <x:c r="B7" s="240" t="str">
        <x:v>个OE/模块</x:v>
      </x:c>
      <x:c r="C7" s="203" t="n">
        <x:v>2</x:v>
      </x:c>
      <x:c r="D7" s="205" t="n">
        <x:f>$C$7</x:f>
        <x:v>2</x:v>
      </x:c>
      <x:c r="E7" s="205" t="n">
        <x:f>$C$7</x:f>
        <x:v>2</x:v>
      </x:c>
      <x:c r="F7" s="205" t="n">
        <x:f>$C$7</x:f>
        <x:v>2</x:v>
      </x:c>
      <x:c r="G7" s="205" t="n">
        <x:f>$C$7</x:f>
        <x:v>2</x:v>
      </x:c>
      <x:c r="H7" s="240" t="str">
        <x:v>区分ELSFP模块与内部CW激光芯片</x:v>
      </x:c>
      <x:c r="I7" s="245"/>
      <x:c r="J7" s="245"/>
      <x:c r="K7" s="245"/>
      <x:c r="L7" s="245"/>
      <x:c r="M7" s="245"/>
    </x:row>
    <x:row r="8">
      <x:c r="A8" s="240" t="str">
        <x:v>单ELSFP内CW激光器</x:v>
      </x:c>
      <x:c r="B8" s="240" t="str">
        <x:v>颗/模块</x:v>
      </x:c>
      <x:c r="C8" s="203" t="n">
        <x:v>8</x:v>
      </x:c>
      <x:c r="D8" s="205" t="n">
        <x:f>$C$8</x:f>
        <x:v>8</x:v>
      </x:c>
      <x:c r="E8" s="205" t="n">
        <x:f>$C$8</x:f>
        <x:v>8</x:v>
      </x:c>
      <x:c r="F8" s="205" t="n">
        <x:f>$C$8</x:f>
        <x:v>8</x:v>
      </x:c>
      <x:c r="G8" s="205" t="n">
        <x:f>$C$8</x:f>
        <x:v>8</x:v>
      </x:c>
      <x:c r="H8" s="240" t="str">
        <x:v>CW颗数/ELSFP；除以OE/ELSFP，得到单OE光源用量</x:v>
      </x:c>
      <x:c r="I8" s="245"/>
      <x:c r="J8" s="245"/>
      <x:c r="K8" s="245"/>
      <x:c r="L8" s="245"/>
      <x:c r="M8" s="245"/>
    </x:row>
    <x:row r="9">
      <x:c r="A9" s="245"/>
      <x:c r="B9" s="245"/>
      <x:c r="C9" s="245"/>
      <x:c r="D9" s="245"/>
      <x:c r="E9" s="245"/>
      <x:c r="F9" s="245"/>
      <x:c r="G9" s="245"/>
      <x:c r="H9" s="245"/>
      <x:c r="I9" s="245"/>
      <x:c r="J9" s="245"/>
      <x:c r="K9" s="245"/>
      <x:c r="L9" s="245"/>
      <x:c r="M9" s="245"/>
    </x:row>
    <x:row r="10">
      <x:c r="A10" s="176" t="str">
        <x:v>系统法与带宽法对照（不作为光引擎法收入输入）</x:v>
      </x:c>
      <x:c r="B10" s="176" t="str">
        <x:v>单位</x:v>
      </x:c>
      <x:c r="C10" s="176" t="str">
        <x:v>2026E</x:v>
      </x:c>
      <x:c r="D10" s="176" t="str">
        <x:v>2027E</x:v>
      </x:c>
      <x:c r="E10" s="176" t="str">
        <x:v>2028E</x:v>
      </x:c>
      <x:c r="F10" s="176" t="str">
        <x:v>2029E</x:v>
      </x:c>
      <x:c r="G10" s="176" t="str">
        <x:v>2030E</x:v>
      </x:c>
      <x:c r="H10" s="176" t="str">
        <x:v>解释</x:v>
      </x:c>
      <x:c r="I10" s="245"/>
      <x:c r="J10" s="245"/>
      <x:c r="K10" s="245"/>
      <x:c r="L10" s="245"/>
      <x:c r="M10" s="245"/>
    </x:row>
    <x:row r="11">
      <x:c r="A11" s="240" t="str">
        <x:v>加速器出货量</x:v>
      </x:c>
      <x:c r="B11" s="240" t="str">
        <x:v>百万颗</x:v>
      </x:c>
      <x:c r="C11" s="203" t="n">
        <x:v>19.005</x:v>
      </x:c>
      <x:c r="D11" s="203" t="n">
        <x:v>27.21</x:v>
      </x:c>
      <x:c r="E11" s="203" t="n">
        <x:v>31.1</x:v>
      </x:c>
      <x:c r="F11" s="203" t="n">
        <x:v>37.1</x:v>
      </x:c>
      <x:c r="G11" s="203" t="n">
        <x:v>43.1</x:v>
      </x:c>
      <x:c r="H11" s="240" t="str">
        <x:v>沿用AI总量模型，允许独立敏感性修改</x:v>
      </x:c>
      <x:c r="I11" s="245"/>
      <x:c r="J11" s="245"/>
      <x:c r="K11" s="245"/>
      <x:c r="L11" s="245"/>
      <x:c r="M11" s="245"/>
    </x:row>
    <x:row r="12">
      <x:c r="A12" s="240" t="str">
        <x:v>单颗双向互联带宽</x:v>
      </x:c>
      <x:c r="B12" s="240" t="str">
        <x:v>TB/s</x:v>
      </x:c>
      <x:c r="C12" s="203" t="n">
        <x:v>1.8</x:v>
      </x:c>
      <x:c r="D12" s="203" t="n">
        <x:v>2.4</x:v>
      </x:c>
      <x:c r="E12" s="203" t="n">
        <x:v>3</x:v>
      </x:c>
      <x:c r="F12" s="203" t="n">
        <x:v>3.6</x:v>
      </x:c>
      <x:c r="G12" s="203" t="n">
        <x:v>4.5</x:v>
      </x:c>
      <x:c r="H12" s="240" t="str">
        <x:v>研究假设，乘8换算Tb/s再除2转单向</x:v>
      </x:c>
      <x:c r="I12" s="245"/>
      <x:c r="J12" s="245"/>
      <x:c r="K12" s="245"/>
      <x:c r="L12" s="245"/>
      <x:c r="M12" s="245"/>
    </x:row>
    <x:row r="13">
      <x:c r="A13" s="240" t="str">
        <x:v>Scale-up NPO/CPO采用比例</x:v>
      </x:c>
      <x:c r="B13" s="240" t="str">
        <x:v>%</x:v>
      </x:c>
      <x:c r="C13" s="202" t="n">
        <x:v>0.01</x:v>
      </x:c>
      <x:c r="D13" s="202" t="n">
        <x:v>0.03</x:v>
      </x:c>
      <x:c r="E13" s="202" t="n">
        <x:v>0.08</x:v>
      </x:c>
      <x:c r="F13" s="202" t="n">
        <x:v>0.15</x:v>
      </x:c>
      <x:c r="G13" s="202" t="n">
        <x:v>0.25</x:v>
      </x:c>
      <x:c r="H13" s="240" t="str">
        <x:v>仅计采用封装/近封装光学的带宽，不含可插拔</x:v>
      </x:c>
      <x:c r="I13" s="245"/>
      <x:c r="J13" s="245"/>
      <x:c r="K13" s="245"/>
      <x:c r="L13" s="245"/>
      <x:c r="M13" s="245"/>
    </x:row>
    <x:row r="14">
      <x:c r="A14" s="240" t="str">
        <x:v>器件端点系数</x:v>
      </x:c>
      <x:c r="B14" s="240" t="str">
        <x:v>倍</x:v>
      </x:c>
      <x:c r="C14" s="203" t="n">
        <x:v>2</x:v>
      </x:c>
      <x:c r="D14" s="205" t="n">
        <x:f>$C$14</x:f>
        <x:v>2</x:v>
      </x:c>
      <x:c r="E14" s="205" t="n">
        <x:f>$C$14</x:f>
        <x:v>2</x:v>
      </x:c>
      <x:c r="F14" s="205" t="n">
        <x:f>$C$14</x:f>
        <x:v>2</x:v>
      </x:c>
      <x:c r="G14" s="205" t="n">
        <x:f>$C$14</x:f>
        <x:v>2</x:v>
      </x:c>
      <x:c r="H14" s="240" t="str">
        <x:v>交换式连接为2（XPU端与交换机端）；直连为1，非带宽双向换算</x:v>
      </x:c>
      <x:c r="I14" s="245"/>
      <x:c r="J14" s="245"/>
      <x:c r="K14" s="245"/>
      <x:c r="L14" s="245"/>
      <x:c r="M14" s="245"/>
    </x:row>
    <x:row r="15">
      <x:c r="A15" s="240" t="str">
        <x:v>Scale-out光引擎池</x:v>
      </x:c>
      <x:c r="B15" s="240" t="str">
        <x:v>万个3.2T等效OE</x:v>
      </x:c>
      <x:c r="C15" s="251" t="n">
        <x:f>'机会输入'!E16*'机会输入'!E17*(1+MAX(0,MIN(1,'规格输入'!E6)))</x:f>
        <x:v>64</x:v>
      </x:c>
      <x:c r="D15" s="251" t="n">
        <x:f>'机会输入'!F16*'机会输入'!F17*(1+MAX(0,MIN(1,'规格输入'!F6)))</x:f>
        <x:v>640</x:v>
      </x:c>
      <x:c r="E15" s="251" t="n">
        <x:f>'机会输入'!G16*'机会输入'!G17*(1+MAX(0,MIN(1,'规格输入'!G6)))</x:f>
        <x:v>2240</x:v>
      </x:c>
      <x:c r="F15" s="251" t="n">
        <x:f>'机会输入'!H16*'机会输入'!H17*(1+MAX(0,MIN(1,'规格输入'!H6)))</x:f>
        <x:v>4488</x:v>
      </x:c>
      <x:c r="G15" s="251" t="n">
        <x:f>'机会输入'!I16*'机会输入'!I17*(1+MAX(0,MIN(1,'规格输入'!I6)))</x:f>
        <x:v>6912</x:v>
      </x:c>
      <x:c r="H15" s="240" t="str">
        <x:v>主模型CPO系统×32×(1＋204.8T占比)</x:v>
      </x:c>
      <x:c r="I15" s="245"/>
      <x:c r="J15" s="245"/>
      <x:c r="K15" s="245"/>
      <x:c r="L15" s="245"/>
      <x:c r="M15" s="245"/>
    </x:row>
    <x:row r="16">
      <x:c r="A16" s="240" t="str">
        <x:v>Scale-up光引擎池</x:v>
      </x:c>
      <x:c r="B16" s="240" t="str">
        <x:v>万个3.2T等效OE</x:v>
      </x:c>
      <x:c r="C16" s="251" t="n">
        <x:f>C11*100*C12*8/2*C13*C14/3.2</x:f>
        <x:v>85.52250000000001</x:v>
      </x:c>
      <x:c r="D16" s="251" t="n">
        <x:f>D11*100*D12*8/2*D13*D14/3.2</x:f>
        <x:v>489.7799999999999</x:v>
      </x:c>
      <x:c r="E16" s="251" t="n">
        <x:f>E11*100*E12*8/2*E13*E14/3.2</x:f>
        <x:v>1865.9999999999998</x:v>
      </x:c>
      <x:c r="F16" s="251" t="n">
        <x:f>F11*100*F12*8/2*F13*F14/3.2</x:f>
        <x:v>5008.499999999999</x:v>
      </x:c>
      <x:c r="G16" s="251" t="n">
        <x:f>G11*100*G12*8/2*G13*G14/3.2</x:f>
        <x:v>12121.875</x:v>
      </x:c>
      <x:c r="H16" s="240" t="str">
        <x:v>加速器百万颗×100×双向TB/s×8÷2×采用比例×端点系数÷3.2</x:v>
      </x:c>
      <x:c r="I16" s="245"/>
      <x:c r="J16" s="245"/>
      <x:c r="K16" s="245"/>
      <x:c r="L16" s="245"/>
      <x:c r="M16" s="245"/>
    </x:row>
    <x:row r="17">
      <x:c r="A17" s="240" t="str">
        <x:v>对照合计（不驱动参考法收入）</x:v>
      </x:c>
      <x:c r="B17" s="240" t="str">
        <x:v>万个</x:v>
      </x:c>
      <x:c r="C17" s="251" t="n">
        <x:f>C15+C16</x:f>
        <x:v>149.5225</x:v>
      </x:c>
      <x:c r="D17" s="251" t="n">
        <x:f>D15+D16</x:f>
        <x:v>1129.78</x:v>
      </x:c>
      <x:c r="E17" s="251" t="n">
        <x:f>E15+E16</x:f>
        <x:v>4106</x:v>
      </x:c>
      <x:c r="F17" s="251" t="n">
        <x:f>F15+F16</x:f>
        <x:v>9496.5</x:v>
      </x:c>
      <x:c r="G17" s="251" t="n">
        <x:f>G15+G16</x:f>
        <x:v>19033.875</x:v>
      </x:c>
      <x:c r="H17" s="240" t="str">
        <x:v>仅对照系统法与带宽法，不与第4行年度需求相加</x:v>
      </x:c>
      <x:c r="I17" s="245"/>
      <x:c r="J17" s="245"/>
      <x:c r="K17" s="245"/>
      <x:c r="L17" s="245"/>
      <x:c r="M17" s="245"/>
    </x:row>
    <x:row r="18">
      <x:c r="A18" s="245"/>
      <x:c r="B18" s="245"/>
      <x:c r="C18" s="245"/>
      <x:c r="D18" s="245"/>
      <x:c r="E18" s="245"/>
      <x:c r="F18" s="245"/>
      <x:c r="G18" s="245"/>
      <x:c r="H18" s="245"/>
      <x:c r="I18" s="245"/>
      <x:c r="J18" s="245"/>
      <x:c r="K18" s="245"/>
      <x:c r="L18" s="245"/>
      <x:c r="M18" s="245"/>
    </x:row>
    <x:row r="19" ht="54" customHeight="1">
      <x:c r="A19" s="253" t="str">
        <x:v>第4行是光引擎法唯一年度需求基数。2026年按2万台102.4T系统×32个光引擎补充估算；2026—2030年均链接行业趋势中的3.2T单元量。可修改行业趋势输入或覆盖第4行公式设定独立情景；下方收入统一再乘一次需求情景系数。第11—17行为其他方法对照，其变化不影响光引擎法收入。</x:v>
      </x:c>
      <x:c r="B19" s="253"/>
      <x:c r="C19" s="253"/>
      <x:c r="D19" s="253"/>
      <x:c r="E19" s="253"/>
      <x:c r="F19" s="253"/>
      <x:c r="G19" s="253"/>
      <x:c r="H19" s="253"/>
      <x:c r="I19" s="253"/>
      <x:c r="J19" s="253"/>
      <x:c r="K19" s="253"/>
      <x:c r="L19" s="253"/>
      <x:c r="M19" s="245"/>
    </x:row>
    <x:row r="20">
      <x:c r="A20" s="245"/>
      <x:c r="B20" s="245"/>
      <x:c r="C20" s="245"/>
      <x:c r="D20" s="245"/>
      <x:c r="E20" s="245"/>
      <x:c r="F20" s="245"/>
      <x:c r="G20" s="245"/>
      <x:c r="H20" s="245"/>
      <x:c r="I20" s="245"/>
      <x:c r="J20" s="245"/>
      <x:c r="K20" s="245"/>
      <x:c r="L20" s="245"/>
      <x:c r="M20" s="245"/>
    </x:row>
    <x:row r="21" ht="44" customHeight="1">
      <x:c r="A21" s="198" t="str">
        <x:v>华鑫AI研究整理与测算。2027年400万只来自2026年4月产业供需预测，2028—2030年衔接AI产业总量模型外推；2026年按2万台102.4T系统、每台32个光引擎补充估算。3.2T单元按36通道FAU参考架构映射，结构参考NVIDIA Spectrum-X。https://developer.nvidia.com/blog/how-industry-collaboration-fosters-nvidia-co-packaged-optics/</x:v>
      </x:c>
      <x:c r="B21" s="198"/>
      <x:c r="C21" s="198"/>
      <x:c r="D21" s="198"/>
      <x:c r="E21" s="198"/>
      <x:c r="F21" s="198"/>
      <x:c r="G21" s="198"/>
      <x:c r="H21" s="198"/>
      <x:c r="I21" s="198"/>
      <x:c r="J21" s="198"/>
      <x:c r="K21" s="198"/>
      <x:c r="L21" s="198"/>
      <x:c r="M21" s="245"/>
    </x:row>
    <x:row r="22">
      <x:c r="A22" s="245"/>
      <x:c r="B22" s="245"/>
      <x:c r="C22" s="245"/>
      <x:c r="D22" s="245"/>
      <x:c r="E22" s="245"/>
      <x:c r="F22" s="245"/>
      <x:c r="G22" s="245"/>
      <x:c r="H22" s="245"/>
      <x:c r="I22" s="245"/>
      <x:c r="J22" s="245"/>
      <x:c r="K22" s="245"/>
      <x:c r="L22" s="245"/>
      <x:c r="M22" s="245"/>
    </x:row>
    <x:row r="23">
      <x:c r="A23" s="245"/>
      <x:c r="B23" s="245"/>
      <x:c r="C23" s="245"/>
      <x:c r="D23" s="245"/>
      <x:c r="E23" s="245"/>
      <x:c r="F23" s="245"/>
      <x:c r="G23" s="245"/>
      <x:c r="H23" s="245"/>
      <x:c r="I23" s="245"/>
      <x:c r="J23" s="245"/>
      <x:c r="K23" s="245"/>
      <x:c r="L23" s="245"/>
      <x:c r="M23" s="245"/>
    </x:row>
    <x:row r="24">
      <x:c r="A24" s="176" t="str">
        <x:v>审慎情形：独立光引擎法</x:v>
      </x:c>
      <x:c r="B24" s="176"/>
      <x:c r="C24" s="176"/>
      <x:c r="D24" s="176"/>
      <x:c r="E24" s="176"/>
      <x:c r="F24" s="176"/>
      <x:c r="G24" s="176"/>
      <x:c r="H24" s="176"/>
      <x:c r="I24" s="176"/>
      <x:c r="J24" s="176"/>
      <x:c r="K24" s="176"/>
      <x:c r="L24" s="176"/>
      <x:c r="M24" s="245"/>
    </x:row>
    <x:row r="25">
      <x:c r="A25" s="176" t="str">
        <x:v>年度</x:v>
      </x:c>
      <x:c r="B25" s="176" t="str">
        <x:v>产品</x:v>
      </x:c>
      <x:c r="C25" s="176" t="str">
        <x:v>需求量（万）</x:v>
      </x:c>
      <x:c r="D25" s="176" t="str">
        <x:v>单位用量</x:v>
      </x:c>
      <x:c r="E25" s="176" t="str">
        <x:v>组件总量</x:v>
      </x:c>
      <x:c r="F25" s="176" t="str">
        <x:v>有效单价</x:v>
      </x:c>
      <x:c r="G25" s="176" t="str">
        <x:v>公司份额</x:v>
      </x:c>
      <x:c r="H25" s="176" t="str">
        <x:v>行业空间（亿元）</x:v>
      </x:c>
      <x:c r="I25" s="176" t="str">
        <x:v>理论收入（亿元）</x:v>
      </x:c>
      <x:c r="J25" s="176" t="str">
        <x:v>收入兑现率</x:v>
      </x:c>
      <x:c r="K25" s="176" t="str">
        <x:v>兑现收入（亿元）</x:v>
      </x:c>
      <x:c r="L25" s="176" t="str">
        <x:v>业务利润（亿元）</x:v>
      </x:c>
      <x:c r="M25" s="245"/>
    </x:row>
    <x:row r="26">
      <x:c r="A26" s="240" t="str">
        <x:v>2026E</x:v>
      </x:c>
      <x:c r="B26" s="240" t="str">
        <x:v>800G可插拔透镜</x:v>
      </x:c>
      <x:c r="C26" s="251" t="n">
        <x:f>SUM('规格明细'!D6)</x:f>
        <x:v>5600</x:v>
      </x:c>
      <x:c r="D26" s="251" t="n">
        <x:f>IF(C26=0,0,SUM('规格明细'!G6)/C26/10000)</x:f>
        <x:v>10</x:v>
      </x:c>
      <x:c r="E26" s="251" t="n">
        <x:f>SUM('规格明细'!G6)</x:f>
        <x:v>560000000</x:v>
      </x:c>
      <x:c r="F26" s="251" t="n">
        <x:f>IF(E26=0,0,SUM('规格明细'!K6)*100000000/E26)</x:f>
        <x:v>3.4</x:v>
      </x:c>
      <x:c r="G26" s="250" t="n">
        <x:f>IF(H26=0,0,SUM('规格明细'!L6)/H26)</x:f>
        <x:v>0.035</x:v>
      </x:c>
      <x:c r="H26" s="251" t="n">
        <x:f>SUM('规格明细'!K6)</x:f>
        <x:v>19.04</x:v>
      </x:c>
      <x:c r="I26" s="251" t="n">
        <x:f>SUM('规格明细'!L6)</x:f>
        <x:v>0.6664</x:v>
      </x:c>
      <x:c r="J26" s="250" t="n">
        <x:f>'机会输入'!C43</x:f>
        <x:v>0.8</x:v>
      </x:c>
      <x:c r="K26" s="251" t="n">
        <x:f>I26*J26</x:f>
        <x:v>0.53312</x:v>
      </x:c>
      <x:c r="L26" s="251" t="n">
        <x:f>K26*'机会输入'!E4</x:f>
        <x:v>0.17592960000000002</x:v>
      </x:c>
      <x:c r="M26" s="245"/>
    </x:row>
    <x:row r="27">
      <x:c r="A27" s="240" t="str">
        <x:v>2026E</x:v>
      </x:c>
      <x:c r="B27" s="240" t="str">
        <x:v>1.6T可插拔透镜</x:v>
      </x:c>
      <x:c r="C27" s="251" t="n">
        <x:f>SUM('规格明细'!D7)</x:f>
        <x:v>1880</x:v>
      </x:c>
      <x:c r="D27" s="251" t="n">
        <x:f>IF(C27=0,0,SUM('规格明细'!G7)/C27/10000)</x:f>
        <x:v>10</x:v>
      </x:c>
      <x:c r="E27" s="251" t="n">
        <x:f>SUM('规格明细'!G7)</x:f>
        <x:v>188000000</x:v>
      </x:c>
      <x:c r="F27" s="251" t="n">
        <x:f>IF(E27=0,0,SUM('规格明细'!K7)*100000000/E27)</x:f>
        <x:v>4.76</x:v>
      </x:c>
      <x:c r="G27" s="250" t="n">
        <x:f>IF(H27=0,0,SUM('规格明细'!L7)/H27)</x:f>
        <x:v>0.035</x:v>
      </x:c>
      <x:c r="H27" s="251" t="n">
        <x:f>SUM('规格明细'!K7)</x:f>
        <x:v>8.9488</x:v>
      </x:c>
      <x:c r="I27" s="251" t="n">
        <x:f>SUM('规格明细'!L7)</x:f>
        <x:v>0.31320800000000004</x:v>
      </x:c>
      <x:c r="J27" s="250" t="n">
        <x:f>'机会输入'!C44</x:f>
        <x:v>0.8</x:v>
      </x:c>
      <x:c r="K27" s="251" t="n">
        <x:f>I27*J27</x:f>
        <x:v>0.2505664</x:v>
      </x:c>
      <x:c r="L27" s="251" t="n">
        <x:f>K27*'机会输入'!E4</x:f>
        <x:v>0.08268691200000002</x:v>
      </x:c>
      <x:c r="M27" s="245"/>
    </x:row>
    <x:row r="28">
      <x:c r="A28" s="240" t="str">
        <x:v>2026E</x:v>
      </x:c>
      <x:c r="B28" s="240" t="str">
        <x:v>OCS NxN透镜阵列</x:v>
      </x:c>
      <x:c r="C28" s="251" t="n">
        <x:f>SUM('规格明细'!D8,'规格明细'!D9)</x:f>
        <x:v>2</x:v>
      </x:c>
      <x:c r="D28" s="251" t="n">
        <x:f>IF(C28=0,0,SUM('规格明细'!G8,'规格明细'!G9)/C28/10000)</x:f>
        <x:v>352</x:v>
      </x:c>
      <x:c r="E28" s="251" t="n">
        <x:f>SUM('规格明细'!G8,'规格明细'!G9)</x:f>
        <x:v>7040000</x:v>
      </x:c>
      <x:c r="F28" s="251" t="n">
        <x:f>IF(E28=0,0,SUM('规格明细'!K8,'规格明细'!K9)*100000000/E28)</x:f>
        <x:v>21.818181818181817</x:v>
      </x:c>
      <x:c r="G28" s="250" t="n">
        <x:f>IF(H28=0,0,SUM('规格明细'!L8,'规格明细'!L9)/H28)</x:f>
        <x:v>0.81484375</x:v>
      </x:c>
      <x:c r="H28" s="251" t="n">
        <x:f>SUM('规格明细'!K8,'规格明细'!K9)</x:f>
        <x:v>1.536</x:v>
      </x:c>
      <x:c r="I28" s="251" t="n">
        <x:f>SUM('规格明细'!L8,'规格明细'!L9)</x:f>
        <x:v>1.2516</x:v>
      </x:c>
      <x:c r="J28" s="250" t="n">
        <x:f>'机会输入'!C45</x:f>
        <x:v>0.7</x:v>
      </x:c>
      <x:c r="K28" s="251" t="n">
        <x:f>I28*J28</x:f>
        <x:v>0.87612</x:v>
      </x:c>
      <x:c r="L28" s="251" t="n">
        <x:f>K28*'机会输入'!E4</x:f>
        <x:v>0.28911960000000003</x:v>
      </x:c>
      <x:c r="M28" s="245"/>
    </x:row>
    <x:row r="29">
      <x:c r="A29" s="240" t="str">
        <x:v>2026E</x:v>
      </x:c>
      <x:c r="B29" s="240" t="str">
        <x:v>FAU V型槽</x:v>
      </x:c>
      <x:c r="C29" s="251" t="n">
        <x:f>$C$4*MAX(0,'机会输入'!$B$35)</x:f>
        <x:v>64</x:v>
      </x:c>
      <x:c r="D29" s="251" t="n">
        <x:f>$C$5*$C$6</x:f>
        <x:v>36</x:v>
      </x:c>
      <x:c r="E29" s="251" t="n">
        <x:f>C29*10000*D29</x:f>
        <x:v>23040000</x:v>
      </x:c>
      <x:c r="F29" s="251" t="n">
        <x:f>('机会输入'!E19)*MAX(0,'机会输入'!$C$35)*'规格输入'!$E$7*MAX(0,'机会输入'!E5)</x:f>
        <x:v>7.616</x:v>
      </x:c>
      <x:c r="G29" s="250" t="n">
        <x:f>MAX(0,MIN(1,'机会输入'!E20*MAX(0,'机会输入'!$D$35)))</x:f>
        <x:v>0.39375</x:v>
      </x:c>
      <x:c r="H29" s="251" t="n">
        <x:f>E29*F29/100000000</x:f>
        <x:v>1.7547264</x:v>
      </x:c>
      <x:c r="I29" s="251" t="n">
        <x:f>H29*G29</x:f>
        <x:v>0.69092352</x:v>
      </x:c>
      <x:c r="J29" s="250" t="n">
        <x:f>'机会输入'!C46</x:f>
        <x:v>0.5</x:v>
      </x:c>
      <x:c r="K29" s="251" t="n">
        <x:f>I29*J29</x:f>
        <x:v>0.34546176</x:v>
      </x:c>
      <x:c r="L29" s="251" t="n">
        <x:f>K29*'机会输入'!E4</x:f>
        <x:v>0.11400238080000001</x:v>
      </x:c>
      <x:c r="M29" s="245"/>
    </x:row>
    <x:row r="30">
      <x:c r="A30" s="240" t="str">
        <x:v>2026E</x:v>
      </x:c>
      <x:c r="B30" s="240" t="str">
        <x:v>FAU棱镜透镜阵列</x:v>
      </x:c>
      <x:c r="C30" s="251" t="n">
        <x:f>$C$4*MAX(0,'机会输入'!$B$35)</x:f>
        <x:v>64</x:v>
      </x:c>
      <x:c r="D30" s="251" t="n">
        <x:f>$C$5*$C$6</x:f>
        <x:v>36</x:v>
      </x:c>
      <x:c r="E30" s="251" t="n">
        <x:f>C30*10000*D30</x:f>
        <x:v>23040000</x:v>
      </x:c>
      <x:c r="F30" s="251" t="n">
        <x:f>('机会输入'!E23)*MAX(0,'机会输入'!$C$35)*'规格输入'!$E$7*MAX(0,'机会输入'!E5)</x:f>
        <x:v>10.88</x:v>
      </x:c>
      <x:c r="G30" s="250" t="n">
        <x:f>'机会输入'!E24</x:f>
        <x:v>0.45</x:v>
      </x:c>
      <x:c r="H30" s="251" t="n">
        <x:f>E30*F30/100000000</x:f>
        <x:v>2.506752</x:v>
      </x:c>
      <x:c r="I30" s="251" t="n">
        <x:f>H30*G30</x:f>
        <x:v>1.1280384</x:v>
      </x:c>
      <x:c r="J30" s="250" t="n">
        <x:f>'机会输入'!C47</x:f>
        <x:v>0.5</x:v>
      </x:c>
      <x:c r="K30" s="251" t="n">
        <x:f>I30*J30</x:f>
        <x:v>0.5640192</x:v>
      </x:c>
      <x:c r="L30" s="251" t="n">
        <x:f>K30*'机会输入'!E4</x:f>
        <x:v>0.18612633600000003</x:v>
      </x:c>
      <x:c r="M30" s="245"/>
    </x:row>
    <x:row r="31">
      <x:c r="A31" s="240" t="str">
        <x:v>2026E</x:v>
      </x:c>
      <x:c r="B31" s="240" t="str">
        <x:v>ELS透镜＋热沉</x:v>
      </x:c>
      <x:c r="C31" s="251" t="n">
        <x:f>$C$4*MAX(0,'机会输入'!$B$35)</x:f>
        <x:v>64</x:v>
      </x:c>
      <x:c r="D31" s="251" t="n">
        <x:f>$C$8/$C$7</x:f>
        <x:v>4</x:v>
      </x:c>
      <x:c r="E31" s="251" t="n">
        <x:f>C31*10000*D31</x:f>
        <x:v>2560000</x:v>
      </x:c>
      <x:c r="F31" s="251" t="n">
        <x:f>('机会输入'!E26+'机会输入'!E27)*MAX(0,'机会输入'!$C$35)*'规格输入'!$E$7*MAX(0,'机会输入'!E5)</x:f>
        <x:v>54.400000000000006</x:v>
      </x:c>
      <x:c r="G31" s="250" t="n">
        <x:f>MAX(0,MIN(1,'机会输入'!E28*MAX(0,'机会输入'!$D$35)))</x:f>
        <x:v>0.39375</x:v>
      </x:c>
      <x:c r="H31" s="251" t="n">
        <x:f>E31*F31/100000000</x:f>
        <x:v>1.39264</x:v>
      </x:c>
      <x:c r="I31" s="251" t="n">
        <x:f>H31*G31</x:f>
        <x:v>0.5483520000000001</x:v>
      </x:c>
      <x:c r="J31" s="250" t="n">
        <x:f>'机会输入'!C48</x:f>
        <x:v>0.5</x:v>
      </x:c>
      <x:c r="K31" s="251" t="n">
        <x:f>I31*J31</x:f>
        <x:v>0.27417600000000003</x:v>
      </x:c>
      <x:c r="L31" s="251" t="n">
        <x:f>K31*'机会输入'!E4</x:f>
        <x:v>0.09047808000000002</x:v>
      </x:c>
      <x:c r="M31" s="245"/>
    </x:row>
    <x:row r="32">
      <x:c r="A32" s="240" t="str">
        <x:v>2026E</x:v>
      </x:c>
      <x:c r="B32" s="240" t="str">
        <x:v>FAU关键尺寸量测设备</x:v>
      </x:c>
      <x:c r="C32" s="251" t="n">
        <x:f>$C$4*MAX(0,'机会输入'!$B$35)</x:f>
        <x:v>64</x:v>
      </x:c>
      <x:c r="D32" s="251" t="n">
        <x:f>$C$5/'规格输入'!$E$10</x:f>
        <x:v>0.001</x:v>
      </x:c>
      <x:c r="E32" s="251" t="n">
        <x:f>C32*10000*D32</x:f>
        <x:v>640</x:v>
      </x:c>
      <x:c r="F32" s="251" t="n">
        <x:f>('机会输入'!E30)*MAX(0,'机会输入'!$C$35)*'规格输入'!$E$7</x:f>
        <x:v>54400</x:v>
      </x:c>
      <x:c r="G32" s="250" t="n">
        <x:f>MAX(0,MIN(1,'机会输入'!E31*MAX(0,'机会输入'!$D$35)))</x:f>
        <x:v>0.08750000000000001</x:v>
      </x:c>
      <x:c r="H32" s="251" t="n">
        <x:f>E32*F32/100000000</x:f>
        <x:v>0.34816</x:v>
      </x:c>
      <x:c r="I32" s="251" t="n">
        <x:f>H32*G32</x:f>
        <x:v>0.030464000000000005</x:v>
      </x:c>
      <x:c r="J32" s="250" t="n">
        <x:f>'机会输入'!C49</x:f>
        <x:v>0</x:v>
      </x:c>
      <x:c r="K32" s="251" t="n">
        <x:f>I32*J32</x:f>
        <x:v>0</x:v>
      </x:c>
      <x:c r="L32" s="251" t="n">
        <x:f>K32*'机会输入'!E4</x:f>
        <x:v>0</x:v>
      </x:c>
      <x:c r="M32" s="245"/>
    </x:row>
    <x:row r="33">
      <x:c r="A33" s="197" t="str">
        <x:v>2026E</x:v>
      </x:c>
      <x:c r="B33" s="197" t="str">
        <x:v>独立参考合计</x:v>
      </x:c>
      <x:c r="C33" s="214"/>
      <x:c r="D33" s="214"/>
      <x:c r="E33" s="214"/>
      <x:c r="F33" s="214"/>
      <x:c r="G33" s="222"/>
      <x:c r="H33" s="214" t="n">
        <x:f>SUM(H26:H32)</x:f>
        <x:v>35.5270784</x:v>
      </x:c>
      <x:c r="I33" s="214" t="n">
        <x:f>SUM(I26:I32)</x:f>
        <x:v>4.628985920000001</x:v>
      </x:c>
      <x:c r="J33" s="222"/>
      <x:c r="K33" s="214" t="n">
        <x:f>SUM(K26:K32)</x:f>
        <x:v>2.8434633600000003</x:v>
      </x:c>
      <x:c r="L33" s="214" t="n">
        <x:f>SUM(L26:L32)</x:f>
        <x:v>0.9383429088000002</x:v>
      </x:c>
      <x:c r="M33" s="245"/>
    </x:row>
    <x:row r="34">
      <x:c r="A34" s="240" t="str">
        <x:v>2027E</x:v>
      </x:c>
      <x:c r="B34" s="240" t="str">
        <x:v>800G可插拔透镜</x:v>
      </x:c>
      <x:c r="C34" s="251" t="n">
        <x:f>SUM('规格明细'!D18)</x:f>
        <x:v>7250</x:v>
      </x:c>
      <x:c r="D34" s="251" t="n">
        <x:f>IF(C34=0,0,SUM('规格明细'!G18)/C34/10000)</x:f>
        <x:v>10</x:v>
      </x:c>
      <x:c r="E34" s="251" t="n">
        <x:f>SUM('规格明细'!G18)</x:f>
        <x:v>725000000</x:v>
      </x:c>
      <x:c r="F34" s="251" t="n">
        <x:f>IF(E34=0,0,SUM('规格明细'!K18)*100000000/E34)</x:f>
        <x:v>3.06</x:v>
      </x:c>
      <x:c r="G34" s="250" t="n">
        <x:f>IF(H34=0,0,SUM('规格明细'!L18)/H34)</x:f>
        <x:v>0.07999999999999999</x:v>
      </x:c>
      <x:c r="H34" s="251" t="n">
        <x:f>SUM('规格明细'!K18)</x:f>
        <x:v>22.185</x:v>
      </x:c>
      <x:c r="I34" s="251" t="n">
        <x:f>SUM('规格明细'!L18)</x:f>
        <x:v>1.7747999999999997</x:v>
      </x:c>
      <x:c r="J34" s="250" t="n">
        <x:f>'机会输入'!D43</x:f>
        <x:v>0.9</x:v>
      </x:c>
      <x:c r="K34" s="251" t="n">
        <x:f>I34*J34</x:f>
        <x:v>1.5973199999999999</x:v>
      </x:c>
      <x:c r="L34" s="251" t="n">
        <x:f>K34*'机会输入'!F4</x:f>
        <x:v>0.5271156</x:v>
      </x:c>
      <x:c r="M34" s="245"/>
    </x:row>
    <x:row r="35">
      <x:c r="A35" s="240" t="str">
        <x:v>2027E</x:v>
      </x:c>
      <x:c r="B35" s="240" t="str">
        <x:v>1.6T可插拔透镜</x:v>
      </x:c>
      <x:c r="C35" s="251" t="n">
        <x:f>SUM('规格明细'!D19)</x:f>
        <x:v>6400</x:v>
      </x:c>
      <x:c r="D35" s="251" t="n">
        <x:f>IF(C35=0,0,SUM('规格明细'!G19)/C35/10000)</x:f>
        <x:v>10</x:v>
      </x:c>
      <x:c r="E35" s="251" t="n">
        <x:f>SUM('规格明细'!G19)</x:f>
        <x:v>640000000</x:v>
      </x:c>
      <x:c r="F35" s="251" t="n">
        <x:f>IF(E35=0,0,SUM('规格明细'!K19)*100000000/E35)</x:f>
        <x:v>4.284</x:v>
      </x:c>
      <x:c r="G35" s="250" t="n">
        <x:f>IF(H35=0,0,SUM('规格明细'!L19)/H35)</x:f>
        <x:v>0.07999999999999999</x:v>
      </x:c>
      <x:c r="H35" s="251" t="n">
        <x:f>SUM('规格明细'!K19)</x:f>
        <x:v>27.4176</x:v>
      </x:c>
      <x:c r="I35" s="251" t="n">
        <x:f>SUM('规格明细'!L19)</x:f>
        <x:v>2.193408</x:v>
      </x:c>
      <x:c r="J35" s="250" t="n">
        <x:f>'机会输入'!D44</x:f>
        <x:v>0.9</x:v>
      </x:c>
      <x:c r="K35" s="251" t="n">
        <x:f>I35*J35</x:f>
        <x:v>1.9740672</x:v>
      </x:c>
      <x:c r="L35" s="251" t="n">
        <x:f>K35*'机会输入'!F4</x:f>
        <x:v>0.651442176</x:v>
      </x:c>
      <x:c r="M35" s="245"/>
    </x:row>
    <x:row r="36">
      <x:c r="A36" s="240" t="str">
        <x:v>2027E</x:v>
      </x:c>
      <x:c r="B36" s="240" t="str">
        <x:v>OCS NxN透镜阵列</x:v>
      </x:c>
      <x:c r="C36" s="251" t="n">
        <x:f>SUM('规格明细'!D20,'规格明细'!D21)</x:f>
        <x:v>10</x:v>
      </x:c>
      <x:c r="D36" s="251" t="n">
        <x:f>IF(C36=0,0,SUM('规格明细'!G20,'规格明细'!G21)/C36/10000)</x:f>
        <x:v>409.6</x:v>
      </x:c>
      <x:c r="E36" s="251" t="n">
        <x:f>SUM('规格明细'!G20,'规格明细'!G21)</x:f>
        <x:v>40960000</x:v>
      </x:c>
      <x:c r="F36" s="251" t="n">
        <x:f>IF(E36=0,0,SUM('规格明细'!K20,'规格明细'!K21)*100000000/E36)</x:f>
        <x:v>19.5</x:v>
      </x:c>
      <x:c r="G36" s="250" t="n">
        <x:f>IF(H36=0,0,SUM('规格明细'!L20,'规格明细'!L21)/H36)</x:f>
        <x:v>0.8341880341880341</x:v>
      </x:c>
      <x:c r="H36" s="251" t="n">
        <x:f>SUM('规格明细'!K20,'规格明细'!K21)</x:f>
        <x:v>7.9872</x:v>
      </x:c>
      <x:c r="I36" s="251" t="n">
        <x:f>SUM('规格明细'!L20,'规格明细'!L21)</x:f>
        <x:v>6.662826666666666</x:v>
      </x:c>
      <x:c r="J36" s="250" t="n">
        <x:f>'机会输入'!D45</x:f>
        <x:v>0.8</x:v>
      </x:c>
      <x:c r="K36" s="251" t="n">
        <x:f>I36*J36</x:f>
        <x:v>5.330261333333333</x:v>
      </x:c>
      <x:c r="L36" s="251" t="n">
        <x:f>K36*'机会输入'!F4</x:f>
        <x:v>1.7589862399999998</x:v>
      </x:c>
      <x:c r="M36" s="245"/>
    </x:row>
    <x:row r="37">
      <x:c r="A37" s="240" t="str">
        <x:v>2027E</x:v>
      </x:c>
      <x:c r="B37" s="240" t="str">
        <x:v>FAU V型槽</x:v>
      </x:c>
      <x:c r="C37" s="251" t="n">
        <x:f>$D$4*MAX(0,'机会输入'!$B$35)</x:f>
        <x:v>400</x:v>
      </x:c>
      <x:c r="D37" s="251" t="n">
        <x:f>$C$5*$C$6</x:f>
        <x:v>36</x:v>
      </x:c>
      <x:c r="E37" s="251" t="n">
        <x:f>C37*10000*D37</x:f>
        <x:v>144000000</x:v>
      </x:c>
      <x:c r="F37" s="251" t="n">
        <x:f>('机会输入'!F19)*MAX(0,'机会输入'!$C$35)*'规格输入'!$E$7*MAX(0,'机会输入'!F5)</x:f>
        <x:v>6.0928</x:v>
      </x:c>
      <x:c r="G37" s="250" t="n">
        <x:f>MAX(0,MIN(1,'机会输入'!F20*MAX(0,'机会输入'!$E$35)))</x:f>
        <x:v>0.4444444444444444</x:v>
      </x:c>
      <x:c r="H37" s="251" t="n">
        <x:f>E37*F37/100000000</x:f>
        <x:v>8.773632000000001</x:v>
      </x:c>
      <x:c r="I37" s="251" t="n">
        <x:f>H37*G37</x:f>
        <x:v>3.899392</x:v>
      </x:c>
      <x:c r="J37" s="250" t="n">
        <x:f>'机会输入'!D46</x:f>
        <x:v>0.7</x:v>
      </x:c>
      <x:c r="K37" s="251" t="n">
        <x:f>I37*J37</x:f>
        <x:v>2.7295744</x:v>
      </x:c>
      <x:c r="L37" s="251" t="n">
        <x:f>K37*'机会输入'!F4</x:f>
        <x:v>0.9007595520000001</x:v>
      </x:c>
      <x:c r="M37" s="245"/>
    </x:row>
    <x:row r="38">
      <x:c r="A38" s="240" t="str">
        <x:v>2027E</x:v>
      </x:c>
      <x:c r="B38" s="240" t="str">
        <x:v>FAU棱镜透镜阵列</x:v>
      </x:c>
      <x:c r="C38" s="251" t="n">
        <x:f>$D$4*MAX(0,'机会输入'!$B$35)</x:f>
        <x:v>400</x:v>
      </x:c>
      <x:c r="D38" s="251" t="n">
        <x:f>$C$5*$C$6</x:f>
        <x:v>36</x:v>
      </x:c>
      <x:c r="E38" s="251" t="n">
        <x:f>C38*10000*D38</x:f>
        <x:v>144000000</x:v>
      </x:c>
      <x:c r="F38" s="251" t="n">
        <x:f>('机会输入'!F23)*MAX(0,'机会输入'!$C$35)*'规格输入'!$E$7*MAX(0,'机会输入'!F5)</x:f>
        <x:v>8.704</x:v>
      </x:c>
      <x:c r="G38" s="250" t="n">
        <x:f>'机会输入'!F24</x:f>
        <x:v>0.45</x:v>
      </x:c>
      <x:c r="H38" s="251" t="n">
        <x:f>E38*F38/100000000</x:f>
        <x:v>12.53376</x:v>
      </x:c>
      <x:c r="I38" s="251" t="n">
        <x:f>H38*G38</x:f>
        <x:v>5.640192</x:v>
      </x:c>
      <x:c r="J38" s="250" t="n">
        <x:f>'机会输入'!D47</x:f>
        <x:v>0.7</x:v>
      </x:c>
      <x:c r="K38" s="251" t="n">
        <x:f>I38*J38</x:f>
        <x:v>3.9481344</x:v>
      </x:c>
      <x:c r="L38" s="251" t="n">
        <x:f>K38*'机会输入'!F4</x:f>
        <x:v>1.302884352</x:v>
      </x:c>
      <x:c r="M38" s="245"/>
    </x:row>
    <x:row r="39">
      <x:c r="A39" s="240" t="str">
        <x:v>2027E</x:v>
      </x:c>
      <x:c r="B39" s="240" t="str">
        <x:v>ELS透镜＋热沉</x:v>
      </x:c>
      <x:c r="C39" s="251" t="n">
        <x:f>$D$4*MAX(0,'机会输入'!$B$35)</x:f>
        <x:v>400</x:v>
      </x:c>
      <x:c r="D39" s="251" t="n">
        <x:f>$C$8/$C$7</x:f>
        <x:v>4</x:v>
      </x:c>
      <x:c r="E39" s="251" t="n">
        <x:f>C39*10000*D39</x:f>
        <x:v>16000000</x:v>
      </x:c>
      <x:c r="F39" s="251" t="n">
        <x:f>('机会输入'!F26+'机会输入'!F27)*MAX(0,'机会输入'!$C$35)*'规格输入'!$E$7*MAX(0,'机会输入'!F5)</x:f>
        <x:v>43.52000000000001</x:v>
      </x:c>
      <x:c r="G39" s="250" t="n">
        <x:f>MAX(0,MIN(1,'机会输入'!F28*MAX(0,'机会输入'!$E$35)))</x:f>
        <x:v>0.39999999999999997</x:v>
      </x:c>
      <x:c r="H39" s="251" t="n">
        <x:f>E39*F39/100000000</x:f>
        <x:v>6.963200000000001</x:v>
      </x:c>
      <x:c r="I39" s="251" t="n">
        <x:f>H39*G39</x:f>
        <x:v>2.78528</x:v>
      </x:c>
      <x:c r="J39" s="250" t="n">
        <x:f>'机会输入'!D48</x:f>
        <x:v>0.7</x:v>
      </x:c>
      <x:c r="K39" s="251" t="n">
        <x:f>I39*J39</x:f>
        <x:v>1.949696</x:v>
      </x:c>
      <x:c r="L39" s="251" t="n">
        <x:f>K39*'机会输入'!F4</x:f>
        <x:v>0.64339968</x:v>
      </x:c>
      <x:c r="M39" s="245"/>
    </x:row>
    <x:row r="40">
      <x:c r="A40" s="240" t="str">
        <x:v>2027E</x:v>
      </x:c>
      <x:c r="B40" s="240" t="str">
        <x:v>FAU关键尺寸量测设备</x:v>
      </x:c>
      <x:c r="C40" s="251" t="n">
        <x:f>$D$4*MAX(0,'机会输入'!$B$35)</x:f>
        <x:v>400</x:v>
      </x:c>
      <x:c r="D40" s="251" t="n">
        <x:f>$C$5/'规格输入'!$E$10</x:f>
        <x:v>0.001</x:v>
      </x:c>
      <x:c r="E40" s="251" t="n">
        <x:f>C40*10000*D40</x:f>
        <x:v>4000</x:v>
      </x:c>
      <x:c r="F40" s="251" t="n">
        <x:f>('机会输入'!F30)*MAX(0,'机会输入'!$C$35)*'规格输入'!$E$7</x:f>
        <x:v>54400</x:v>
      </x:c>
      <x:c r="G40" s="250" t="n">
        <x:f>MAX(0,MIN(1,'机会输入'!F31*MAX(0,'机会输入'!$E$35)))</x:f>
        <x:v>0.26666666666666666</x:v>
      </x:c>
      <x:c r="H40" s="251" t="n">
        <x:f>E40*F40/100000000</x:f>
        <x:v>2.176</x:v>
      </x:c>
      <x:c r="I40" s="251" t="n">
        <x:f>H40*G40</x:f>
        <x:v>0.5802666666666667</x:v>
      </x:c>
      <x:c r="J40" s="250" t="n">
        <x:f>'机会输入'!D49</x:f>
        <x:v>0.5</x:v>
      </x:c>
      <x:c r="K40" s="251" t="n">
        <x:f>I40*J40</x:f>
        <x:v>0.29013333333333335</x:v>
      </x:c>
      <x:c r="L40" s="251" t="n">
        <x:f>K40*'机会输入'!F4</x:f>
        <x:v>0.09574400000000001</x:v>
      </x:c>
      <x:c r="M40" s="245"/>
    </x:row>
    <x:row r="41">
      <x:c r="A41" s="197" t="str">
        <x:v>2027E</x:v>
      </x:c>
      <x:c r="B41" s="197" t="str">
        <x:v>独立参考合计</x:v>
      </x:c>
      <x:c r="C41" s="214"/>
      <x:c r="D41" s="214"/>
      <x:c r="E41" s="214"/>
      <x:c r="F41" s="214"/>
      <x:c r="G41" s="222"/>
      <x:c r="H41" s="214" t="n">
        <x:f>SUM(H34:H40)</x:f>
        <x:v>88.036392</x:v>
      </x:c>
      <x:c r="I41" s="214" t="n">
        <x:f>SUM(I34:I40)</x:f>
        <x:v>23.536165333333333</x:v>
      </x:c>
      <x:c r="J41" s="222"/>
      <x:c r="K41" s="214" t="n">
        <x:f>SUM(K34:K40)</x:f>
        <x:v>17.819186666666667</x:v>
      </x:c>
      <x:c r="L41" s="214" t="n">
        <x:f>SUM(L34:L40)</x:f>
        <x:v>5.8803316</x:v>
      </x:c>
      <x:c r="M41" s="245"/>
    </x:row>
    <x:row r="42">
      <x:c r="A42" s="240" t="str">
        <x:v>2028E</x:v>
      </x:c>
      <x:c r="B42" s="240" t="str">
        <x:v>800G可插拔透镜</x:v>
      </x:c>
      <x:c r="C42" s="251" t="n">
        <x:f>SUM('规格明细'!D30)</x:f>
        <x:v>5000</x:v>
      </x:c>
      <x:c r="D42" s="251" t="n">
        <x:f>IF(C42=0,0,SUM('规格明细'!G30)/C42/10000)</x:f>
        <x:v>10</x:v>
      </x:c>
      <x:c r="E42" s="251" t="n">
        <x:f>SUM('规格明细'!G30)</x:f>
        <x:v>500000000</x:v>
      </x:c>
      <x:c r="F42" s="251" t="n">
        <x:f>IF(E42=0,0,SUM('规格明细'!K30)*100000000/E42)</x:f>
        <x:v>2.754</x:v>
      </x:c>
      <x:c r="G42" s="250" t="n">
        <x:f>IF(H42=0,0,SUM('规格明细'!L30)/H42)</x:f>
        <x:v>0.085</x:v>
      </x:c>
      <x:c r="H42" s="251" t="n">
        <x:f>SUM('规格明细'!K30)</x:f>
        <x:v>13.77</x:v>
      </x:c>
      <x:c r="I42" s="251" t="n">
        <x:f>SUM('规格明细'!L30)</x:f>
        <x:v>1.17045</x:v>
      </x:c>
      <x:c r="J42" s="250" t="n">
        <x:f>'机会输入'!E43</x:f>
        <x:v>0.9</x:v>
      </x:c>
      <x:c r="K42" s="251" t="n">
        <x:f>I42*J42</x:f>
        <x:v>1.053405</x:v>
      </x:c>
      <x:c r="L42" s="251" t="n">
        <x:f>K42*'机会输入'!G4</x:f>
        <x:v>0.34762365</x:v>
      </x:c>
      <x:c r="M42" s="245"/>
    </x:row>
    <x:row r="43">
      <x:c r="A43" s="240" t="str">
        <x:v>2028E</x:v>
      </x:c>
      <x:c r="B43" s="240" t="str">
        <x:v>1.6T可插拔透镜</x:v>
      </x:c>
      <x:c r="C43" s="251" t="n">
        <x:f>SUM('规格明细'!D31)</x:f>
        <x:v>10500</x:v>
      </x:c>
      <x:c r="D43" s="251" t="n">
        <x:f>IF(C43=0,0,SUM('规格明细'!G31)/C43/10000)</x:f>
        <x:v>10</x:v>
      </x:c>
      <x:c r="E43" s="251" t="n">
        <x:f>SUM('规格明细'!G31)</x:f>
        <x:v>1050000000</x:v>
      </x:c>
      <x:c r="F43" s="251" t="n">
        <x:f>IF(E43=0,0,SUM('规格明细'!K31)*100000000/E43)</x:f>
        <x:v>3.8556</x:v>
      </x:c>
      <x:c r="G43" s="250" t="n">
        <x:f>IF(H43=0,0,SUM('规格明细'!L31)/H43)</x:f>
        <x:v>0.085</x:v>
      </x:c>
      <x:c r="H43" s="251" t="n">
        <x:f>SUM('规格明细'!K31)</x:f>
        <x:v>40.4838</x:v>
      </x:c>
      <x:c r="I43" s="251" t="n">
        <x:f>SUM('规格明细'!L31)</x:f>
        <x:v>3.4411230000000006</x:v>
      </x:c>
      <x:c r="J43" s="250" t="n">
        <x:f>'机会输入'!E44</x:f>
        <x:v>0.9</x:v>
      </x:c>
      <x:c r="K43" s="251" t="n">
        <x:f>I43*J43</x:f>
        <x:v>3.0970107000000007</x:v>
      </x:c>
      <x:c r="L43" s="251" t="n">
        <x:f>K43*'机会输入'!G4</x:f>
        <x:v>1.0220135310000003</x:v>
      </x:c>
      <x:c r="M43" s="245"/>
    </x:row>
    <x:row r="44">
      <x:c r="A44" s="240" t="str">
        <x:v>2028E</x:v>
      </x:c>
      <x:c r="B44" s="240" t="str">
        <x:v>OCS NxN透镜阵列</x:v>
      </x:c>
      <x:c r="C44" s="251" t="n">
        <x:f>SUM('规格明细'!D32,'规格明细'!D33)</x:f>
        <x:v>20</x:v>
      </x:c>
      <x:c r="D44" s="251" t="n">
        <x:f>IF(C44=0,0,SUM('规格明细'!G32,'规格明细'!G33)/C44/10000)</x:f>
        <x:v>467.2</x:v>
      </x:c>
      <x:c r="E44" s="251" t="n">
        <x:f>SUM('规格明细'!G32,'规格明细'!G33)</x:f>
        <x:v>93440000</x:v>
      </x:c>
      <x:c r="F44" s="251" t="n">
        <x:f>IF(E44=0,0,SUM('规格明细'!K32,'规格明细'!K33)*100000000/E44)</x:f>
        <x:v>18.93698630136986</x:v>
      </x:c>
      <x:c r="G44" s="250" t="n">
        <x:f>IF(H44=0,0,SUM('规格明细'!L32,'规格明细'!L33)/H44)</x:f>
        <x:v>0.7165234375</x:v>
      </x:c>
      <x:c r="H44" s="251" t="n">
        <x:f>SUM('规格明细'!K32,'规格明细'!K33)</x:f>
        <x:v>17.694719999999997</x:v>
      </x:c>
      <x:c r="I44" s="251" t="n">
        <x:f>SUM('规格明细'!L32,'规格明细'!L33)</x:f>
        <x:v>12.678681599999997</x:v>
      </x:c>
      <x:c r="J44" s="250" t="n">
        <x:f>'机会输入'!E45</x:f>
        <x:v>0.8</x:v>
      </x:c>
      <x:c r="K44" s="251" t="n">
        <x:f>I44*J44</x:f>
        <x:v>10.14294528</x:v>
      </x:c>
      <x:c r="L44" s="251" t="n">
        <x:f>K44*'机会输入'!G4</x:f>
        <x:v>3.3471719423999997</x:v>
      </x:c>
      <x:c r="M44" s="245"/>
    </x:row>
    <x:row r="45">
      <x:c r="A45" s="240" t="str">
        <x:v>2028E</x:v>
      </x:c>
      <x:c r="B45" s="240" t="str">
        <x:v>FAU V型槽</x:v>
      </x:c>
      <x:c r="C45" s="251" t="n">
        <x:f>$E$4*MAX(0,'机会输入'!$B$35)</x:f>
        <x:v>1194</x:v>
      </x:c>
      <x:c r="D45" s="251" t="n">
        <x:f>$C$5*$C$6</x:f>
        <x:v>36</x:v>
      </x:c>
      <x:c r="E45" s="251" t="n">
        <x:f>C45*10000*D45</x:f>
        <x:v>429840000</x:v>
      </x:c>
      <x:c r="F45" s="251" t="n">
        <x:f>('机会输入'!G19)*MAX(0,'机会输入'!$C$35)*'规格输入'!$E$7*MAX(0,'机会输入'!G5)</x:f>
        <x:v>5.4835199999999995</x:v>
      </x:c>
      <x:c r="G45" s="250" t="n">
        <x:f>MAX(0,MIN(1,'机会输入'!G20*MAX(0,'机会输入'!$F$35)))</x:f>
        <x:v>0.4675</x:v>
      </x:c>
      <x:c r="H45" s="251" t="n">
        <x:f>E45*F45/100000000</x:f>
        <x:v>23.570362367999998</x:v>
      </x:c>
      <x:c r="I45" s="251" t="n">
        <x:f>H45*G45</x:f>
        <x:v>11.019144407039999</x:v>
      </x:c>
      <x:c r="J45" s="250" t="n">
        <x:f>'机会输入'!E46</x:f>
        <x:v>0.8</x:v>
      </x:c>
      <x:c r="K45" s="251" t="n">
        <x:f>I45*J45</x:f>
        <x:v>8.815315525632</x:v>
      </x:c>
      <x:c r="L45" s="251" t="n">
        <x:f>K45*'机会输入'!G4</x:f>
        <x:v>2.90905412345856</x:v>
      </x:c>
      <x:c r="M45" s="245"/>
    </x:row>
    <x:row r="46">
      <x:c r="A46" s="240" t="str">
        <x:v>2028E</x:v>
      </x:c>
      <x:c r="B46" s="240" t="str">
        <x:v>FAU棱镜透镜阵列</x:v>
      </x:c>
      <x:c r="C46" s="251" t="n">
        <x:f>$E$4*MAX(0,'机会输入'!$B$35)</x:f>
        <x:v>1194</x:v>
      </x:c>
      <x:c r="D46" s="251" t="n">
        <x:f>$C$5*$C$6</x:f>
        <x:v>36</x:v>
      </x:c>
      <x:c r="E46" s="251" t="n">
        <x:f>C46*10000*D46</x:f>
        <x:v>429840000</x:v>
      </x:c>
      <x:c r="F46" s="251" t="n">
        <x:f>('机会输入'!G23)*MAX(0,'机会输入'!$C$35)*'规格输入'!$E$7*MAX(0,'机会输入'!G5)</x:f>
        <x:v>7.833600000000001</x:v>
      </x:c>
      <x:c r="G46" s="250" t="n">
        <x:f>'机会输入'!G24</x:f>
        <x:v>0.45</x:v>
      </x:c>
      <x:c r="H46" s="251" t="n">
        <x:f>E46*F46/100000000</x:f>
        <x:v>33.671946240000004</x:v>
      </x:c>
      <x:c r="I46" s="251" t="n">
        <x:f>H46*G46</x:f>
        <x:v>15.152375808000002</x:v>
      </x:c>
      <x:c r="J46" s="250" t="n">
        <x:f>'机会输入'!E47</x:f>
        <x:v>0.8</x:v>
      </x:c>
      <x:c r="K46" s="251" t="n">
        <x:f>I46*J46</x:f>
        <x:v>12.121900646400002</x:v>
      </x:c>
      <x:c r="L46" s="251" t="n">
        <x:f>K46*'机会输入'!G4</x:f>
        <x:v>4.000227213312001</x:v>
      </x:c>
      <x:c r="M46" s="245"/>
    </x:row>
    <x:row r="47">
      <x:c r="A47" s="240" t="str">
        <x:v>2028E</x:v>
      </x:c>
      <x:c r="B47" s="240" t="str">
        <x:v>ELS透镜＋热沉</x:v>
      </x:c>
      <x:c r="C47" s="251" t="n">
        <x:f>$E$4*MAX(0,'机会输入'!$B$35)</x:f>
        <x:v>1194</x:v>
      </x:c>
      <x:c r="D47" s="251" t="n">
        <x:f>$C$8/$C$7</x:f>
        <x:v>4</x:v>
      </x:c>
      <x:c r="E47" s="251" t="n">
        <x:f>C47*10000*D47</x:f>
        <x:v>47760000</x:v>
      </x:c>
      <x:c r="F47" s="251" t="n">
        <x:f>('机会输入'!G26+'机会输入'!G27)*MAX(0,'机会输入'!$C$35)*'规格输入'!$E$7*MAX(0,'机会输入'!G5)</x:f>
        <x:v>39.168</x:v>
      </x:c>
      <x:c r="G47" s="250" t="n">
        <x:f>MAX(0,MIN(1,'机会输入'!G28*MAX(0,'机会输入'!$F$35)))</x:f>
        <x:v>0.36833333333333335</x:v>
      </x:c>
      <x:c r="H47" s="251" t="n">
        <x:f>E47*F47/100000000</x:f>
        <x:v>18.7066368</x:v>
      </x:c>
      <x:c r="I47" s="251" t="n">
        <x:f>H47*G47</x:f>
        <x:v>6.890277888</x:v>
      </x:c>
      <x:c r="J47" s="250" t="n">
        <x:f>'机会输入'!E48</x:f>
        <x:v>0.8</x:v>
      </x:c>
      <x:c r="K47" s="251" t="n">
        <x:f>I47*J47</x:f>
        <x:v>5.5122223104</x:v>
      </x:c>
      <x:c r="L47" s="251" t="n">
        <x:f>K47*'机会输入'!G4</x:f>
        <x:v>1.819033362432</x:v>
      </x:c>
      <x:c r="M47" s="245"/>
    </x:row>
    <x:row r="48">
      <x:c r="A48" s="240" t="str">
        <x:v>2028E</x:v>
      </x:c>
      <x:c r="B48" s="240" t="str">
        <x:v>FAU关键尺寸量测设备</x:v>
      </x:c>
      <x:c r="C48" s="251" t="n">
        <x:f>$E$4*MAX(0,'机会输入'!$B$35)</x:f>
        <x:v>1194</x:v>
      </x:c>
      <x:c r="D48" s="251" t="n">
        <x:f>$C$5/'规格输入'!$E$10</x:f>
        <x:v>0.001</x:v>
      </x:c>
      <x:c r="E48" s="251" t="n">
        <x:f>C48*10000*D48</x:f>
        <x:v>11940</x:v>
      </x:c>
      <x:c r="F48" s="251" t="n">
        <x:f>('机会输入'!G30)*MAX(0,'机会输入'!$C$35)*'规格输入'!$E$7</x:f>
        <x:v>54400</x:v>
      </x:c>
      <x:c r="G48" s="250" t="n">
        <x:f>MAX(0,MIN(1,'机会输入'!G31*MAX(0,'机会输入'!$F$35)))</x:f>
        <x:v>0.3825</x:v>
      </x:c>
      <x:c r="H48" s="251" t="n">
        <x:f>E48*F48/100000000</x:f>
        <x:v>6.49536</x:v>
      </x:c>
      <x:c r="I48" s="251" t="n">
        <x:f>H48*G48</x:f>
        <x:v>2.4844752</x:v>
      </x:c>
      <x:c r="J48" s="250" t="n">
        <x:f>'机会输入'!E49</x:f>
        <x:v>0.7</x:v>
      </x:c>
      <x:c r="K48" s="251" t="n">
        <x:f>I48*J48</x:f>
        <x:v>1.7391326399999998</x:v>
      </x:c>
      <x:c r="L48" s="251" t="n">
        <x:f>K48*'机会输入'!G4</x:f>
        <x:v>0.5739137712</x:v>
      </x:c>
      <x:c r="M48" s="245"/>
    </x:row>
    <x:row r="49">
      <x:c r="A49" s="197" t="str">
        <x:v>2028E</x:v>
      </x:c>
      <x:c r="B49" s="197" t="str">
        <x:v>独立参考合计</x:v>
      </x:c>
      <x:c r="C49" s="214"/>
      <x:c r="D49" s="214"/>
      <x:c r="E49" s="214"/>
      <x:c r="F49" s="214"/>
      <x:c r="G49" s="222"/>
      <x:c r="H49" s="214" t="n">
        <x:f>SUM(H42:H48)</x:f>
        <x:v>154.39282540800002</x:v>
      </x:c>
      <x:c r="I49" s="214" t="n">
        <x:f>SUM(I42:I48)</x:f>
        <x:v>52.83652790304</x:v>
      </x:c>
      <x:c r="J49" s="222"/>
      <x:c r="K49" s="214" t="n">
        <x:f>SUM(K42:K48)</x:f>
        <x:v>42.481932102432</x:v>
      </x:c>
      <x:c r="L49" s="214" t="n">
        <x:f>SUM(L42:L48)</x:f>
        <x:v>14.019037593802562</x:v>
      </x:c>
      <x:c r="M49" s="245"/>
    </x:row>
    <x:row r="50">
      <x:c r="A50" s="240" t="str">
        <x:v>2029E</x:v>
      </x:c>
      <x:c r="B50" s="240" t="str">
        <x:v>800G可插拔透镜</x:v>
      </x:c>
      <x:c r="C50" s="251" t="n">
        <x:f>SUM('规格明细'!D42)</x:f>
        <x:v>3200</x:v>
      </x:c>
      <x:c r="D50" s="251" t="n">
        <x:f>IF(C50=0,0,SUM('规格明细'!G42)/C50/10000)</x:f>
        <x:v>10</x:v>
      </x:c>
      <x:c r="E50" s="251" t="n">
        <x:f>SUM('规格明细'!G42)</x:f>
        <x:v>320000000</x:v>
      </x:c>
      <x:c r="F50" s="251" t="n">
        <x:f>IF(E50=0,0,SUM('规格明细'!K42)*100000000/E50)</x:f>
        <x:v>2.4785999999999997</x:v>
      </x:c>
      <x:c r="G50" s="250" t="n">
        <x:f>IF(H50=0,0,SUM('规格明细'!L42)/H50)</x:f>
        <x:v>0.09000000000000001</x:v>
      </x:c>
      <x:c r="H50" s="251" t="n">
        <x:f>SUM('规格明细'!K42)</x:f>
        <x:v>7.931519999999999</x:v>
      </x:c>
      <x:c r="I50" s="251" t="n">
        <x:f>SUM('规格明细'!L42)</x:f>
        <x:v>0.7138368</x:v>
      </x:c>
      <x:c r="J50" s="250" t="n">
        <x:f>'机会输入'!F43</x:f>
        <x:v>0.9</x:v>
      </x:c>
      <x:c r="K50" s="251" t="n">
        <x:f>I50*J50</x:f>
        <x:v>0.6424531200000001</x:v>
      </x:c>
      <x:c r="L50" s="251" t="n">
        <x:f>K50*'机会输入'!H4</x:f>
        <x:v>0.21200952960000005</x:v>
      </x:c>
      <x:c r="M50" s="245"/>
    </x:row>
    <x:row r="51">
      <x:c r="A51" s="240" t="str">
        <x:v>2029E</x:v>
      </x:c>
      <x:c r="B51" s="240" t="str">
        <x:v>1.6T可插拔透镜</x:v>
      </x:c>
      <x:c r="C51" s="251" t="n">
        <x:f>SUM('规格明细'!D43)</x:f>
        <x:v>14500</x:v>
      </x:c>
      <x:c r="D51" s="251" t="n">
        <x:f>IF(C51=0,0,SUM('规格明细'!G43)/C51/10000)</x:f>
        <x:v>10</x:v>
      </x:c>
      <x:c r="E51" s="251" t="n">
        <x:f>SUM('规格明细'!G43)</x:f>
        <x:v>1450000000</x:v>
      </x:c>
      <x:c r="F51" s="251" t="n">
        <x:f>IF(E51=0,0,SUM('规格明细'!K43)*100000000/E51)</x:f>
        <x:v>3.470039999999999</x:v>
      </x:c>
      <x:c r="G51" s="250" t="n">
        <x:f>IF(H51=0,0,SUM('规格明细'!L43)/H51)</x:f>
        <x:v>0.09000000000000001</x:v>
      </x:c>
      <x:c r="H51" s="251" t="n">
        <x:f>SUM('规格明细'!K43)</x:f>
        <x:v>50.31557999999999</x:v>
      </x:c>
      <x:c r="I51" s="251" t="n">
        <x:f>SUM('规格明细'!L43)</x:f>
        <x:v>4.5284021999999995</x:v>
      </x:c>
      <x:c r="J51" s="250" t="n">
        <x:f>'机会输入'!F44</x:f>
        <x:v>0.9</x:v>
      </x:c>
      <x:c r="K51" s="251" t="n">
        <x:f>I51*J51</x:f>
        <x:v>4.07556198</x:v>
      </x:c>
      <x:c r="L51" s="251" t="n">
        <x:f>K51*'机会输入'!H4</x:f>
        <x:v>1.3449354534</x:v>
      </x:c>
      <x:c r="M51" s="245"/>
    </x:row>
    <x:row r="52">
      <x:c r="A52" s="240" t="str">
        <x:v>2029E</x:v>
      </x:c>
      <x:c r="B52" s="240" t="str">
        <x:v>OCS NxN透镜阵列</x:v>
      </x:c>
      <x:c r="C52" s="251" t="n">
        <x:f>SUM('规格明细'!D44,'规格明细'!D45)</x:f>
        <x:v>32</x:v>
      </x:c>
      <x:c r="D52" s="251" t="n">
        <x:f>IF(C52=0,0,SUM('规格明细'!G44,'规格明细'!G45)/C52/10000)</x:f>
        <x:v>505.6</x:v>
      </x:c>
      <x:c r="E52" s="251" t="n">
        <x:f>SUM('规格明细'!G44,'规格明细'!G45)</x:f>
        <x:v>161792000</x:v>
      </x:c>
      <x:c r="F52" s="251" t="n">
        <x:f>IF(E52=0,0,SUM('规格明细'!K44,'规格明细'!K45)*100000000/E52)</x:f>
        <x:v>17.71746835443038</x:v>
      </x:c>
      <x:c r="G52" s="250" t="n">
        <x:f>IF(H52=0,0,SUM('规格明细'!L44,'规格明细'!L45)/H52)</x:f>
        <x:v>0.670625</x:v>
      </x:c>
      <x:c r="H52" s="251" t="n">
        <x:f>SUM('规格明细'!K44,'规格明细'!K45)</x:f>
        <x:v>28.6654464</x:v>
      </x:c>
      <x:c r="I52" s="251" t="n">
        <x:f>SUM('规格明细'!L44,'规格明细'!L45)</x:f>
        <x:v>19.223764992</x:v>
      </x:c>
      <x:c r="J52" s="250" t="n">
        <x:f>'机会输入'!F45</x:f>
        <x:v>0.8</x:v>
      </x:c>
      <x:c r="K52" s="251" t="n">
        <x:f>I52*J52</x:f>
        <x:v>15.3790119936</x:v>
      </x:c>
      <x:c r="L52" s="251" t="n">
        <x:f>K52*'机会输入'!H4</x:f>
        <x:v>5.075073957888001</x:v>
      </x:c>
      <x:c r="M52" s="245"/>
    </x:row>
    <x:row r="53">
      <x:c r="A53" s="240" t="str">
        <x:v>2029E</x:v>
      </x:c>
      <x:c r="B53" s="240" t="str">
        <x:v>FAU V型槽</x:v>
      </x:c>
      <x:c r="C53" s="251" t="n">
        <x:f>$F$4*MAX(0,'机会输入'!$B$35)</x:f>
        <x:v>3818</x:v>
      </x:c>
      <x:c r="D53" s="251" t="n">
        <x:f>$C$5*$C$6</x:f>
        <x:v>36</x:v>
      </x:c>
      <x:c r="E53" s="251" t="n">
        <x:f>C53*10000*D53</x:f>
        <x:v>1374480000</x:v>
      </x:c>
      <x:c r="F53" s="251" t="n">
        <x:f>('机会输入'!H19)*MAX(0,'机会输入'!$C$35)*'规格输入'!$E$7*MAX(0,'机会输入'!H5)</x:f>
        <x:v>4.935168</x:v>
      </x:c>
      <x:c r="G53" s="250" t="n">
        <x:f>MAX(0,MIN(1,'机会输入'!H20*MAX(0,'机会输入'!$G$35)))</x:f>
        <x:v>0.54</x:v>
      </x:c>
      <x:c r="H53" s="251" t="n">
        <x:f>E53*F53/100000000</x:f>
        <x:v>67.8328971264</x:v>
      </x:c>
      <x:c r="I53" s="251" t="n">
        <x:f>H53*G53</x:f>
        <x:v>36.629764448256005</x:v>
      </x:c>
      <x:c r="J53" s="250" t="n">
        <x:f>'机会输入'!F46</x:f>
        <x:v>0.8</x:v>
      </x:c>
      <x:c r="K53" s="251" t="n">
        <x:f>I53*J53</x:f>
        <x:v>29.303811558604806</x:v>
      </x:c>
      <x:c r="L53" s="251" t="n">
        <x:f>K53*'机会输入'!H4</x:f>
        <x:v>9.670257814339587</x:v>
      </x:c>
      <x:c r="M53" s="245"/>
    </x:row>
    <x:row r="54">
      <x:c r="A54" s="240" t="str">
        <x:v>2029E</x:v>
      </x:c>
      <x:c r="B54" s="240" t="str">
        <x:v>FAU棱镜透镜阵列</x:v>
      </x:c>
      <x:c r="C54" s="251" t="n">
        <x:f>$F$4*MAX(0,'机会输入'!$B$35)</x:f>
        <x:v>3818</x:v>
      </x:c>
      <x:c r="D54" s="251" t="n">
        <x:f>$C$5*$C$6</x:f>
        <x:v>36</x:v>
      </x:c>
      <x:c r="E54" s="251" t="n">
        <x:f>C54*10000*D54</x:f>
        <x:v>1374480000</x:v>
      </x:c>
      <x:c r="F54" s="251" t="n">
        <x:f>('机会输入'!H23)*MAX(0,'机会输入'!$C$35)*'规格输入'!$E$7*MAX(0,'机会输入'!H5)</x:f>
        <x:v>7.0502400000000005</x:v>
      </x:c>
      <x:c r="G54" s="250" t="n">
        <x:f>'机会输入'!H24</x:f>
        <x:v>0.45</x:v>
      </x:c>
      <x:c r="H54" s="251" t="n">
        <x:f>E54*F54/100000000</x:f>
        <x:v>96.90413875200001</x:v>
      </x:c>
      <x:c r="I54" s="251" t="n">
        <x:f>H54*G54</x:f>
        <x:v>43.60686243840001</x:v>
      </x:c>
      <x:c r="J54" s="250" t="n">
        <x:f>'机会输入'!F47</x:f>
        <x:v>0.8</x:v>
      </x:c>
      <x:c r="K54" s="251" t="n">
        <x:f>I54*J54</x:f>
        <x:v>34.88548995072001</x:v>
      </x:c>
      <x:c r="L54" s="251" t="n">
        <x:f>K54*'机会输入'!H4</x:f>
        <x:v>11.512211683737602</x:v>
      </x:c>
      <x:c r="M54" s="245"/>
    </x:row>
    <x:row r="55">
      <x:c r="A55" s="240" t="str">
        <x:v>2029E</x:v>
      </x:c>
      <x:c r="B55" s="240" t="str">
        <x:v>ELS透镜＋热沉</x:v>
      </x:c>
      <x:c r="C55" s="251" t="n">
        <x:f>$F$4*MAX(0,'机会输入'!$B$35)</x:f>
        <x:v>3818</x:v>
      </x:c>
      <x:c r="D55" s="251" t="n">
        <x:f>$C$8/$C$7</x:f>
        <x:v>4</x:v>
      </x:c>
      <x:c r="E55" s="251" t="n">
        <x:f>C55*10000*D55</x:f>
        <x:v>152720000</x:v>
      </x:c>
      <x:c r="F55" s="251" t="n">
        <x:f>('机会输入'!H26+'机会输入'!H27)*MAX(0,'机会输入'!$C$35)*'规格输入'!$E$7*MAX(0,'机会输入'!H5)</x:f>
        <x:v>35.251200000000004</x:v>
      </x:c>
      <x:c r="G55" s="250" t="n">
        <x:f>MAX(0,MIN(1,'机会输入'!H28*MAX(0,'机会输入'!$G$35)))</x:f>
        <x:v>0.375</x:v>
      </x:c>
      <x:c r="H55" s="251" t="n">
        <x:f>E55*F55/100000000</x:f>
        <x:v>53.83563264000001</x:v>
      </x:c>
      <x:c r="I55" s="251" t="n">
        <x:f>H55*G55</x:f>
        <x:v>20.188362240000004</x:v>
      </x:c>
      <x:c r="J55" s="250" t="n">
        <x:f>'机会输入'!F48</x:f>
        <x:v>0.8</x:v>
      </x:c>
      <x:c r="K55" s="251" t="n">
        <x:f>I55*J55</x:f>
        <x:v>16.150689792000005</x:v>
      </x:c>
      <x:c r="L55" s="251" t="n">
        <x:f>K55*'机会输入'!H4</x:f>
        <x:v>5.329727631360002</x:v>
      </x:c>
      <x:c r="M55" s="245"/>
    </x:row>
    <x:row r="56">
      <x:c r="A56" s="240" t="str">
        <x:v>2029E</x:v>
      </x:c>
      <x:c r="B56" s="240" t="str">
        <x:v>FAU关键尺寸量测设备</x:v>
      </x:c>
      <x:c r="C56" s="251" t="n">
        <x:f>$F$4*MAX(0,'机会输入'!$B$35)</x:f>
        <x:v>3818</x:v>
      </x:c>
      <x:c r="D56" s="251" t="n">
        <x:f>$C$5/'规格输入'!$E$10</x:f>
        <x:v>0.001</x:v>
      </x:c>
      <x:c r="E56" s="251" t="n">
        <x:f>C56*10000*D56</x:f>
        <x:v>38180</x:v>
      </x:c>
      <x:c r="F56" s="251" t="n">
        <x:f>('机会输入'!H30)*MAX(0,'机会输入'!$C$35)*'规格输入'!$E$7</x:f>
        <x:v>54400</x:v>
      </x:c>
      <x:c r="G56" s="250" t="n">
        <x:f>MAX(0,MIN(1,'机会输入'!H31*MAX(0,'机会输入'!$G$35)))</x:f>
        <x:v>0.45</x:v>
      </x:c>
      <x:c r="H56" s="251" t="n">
        <x:f>E56*F56/100000000</x:f>
        <x:v>20.76992</x:v>
      </x:c>
      <x:c r="I56" s="251" t="n">
        <x:f>H56*G56</x:f>
        <x:v>9.346464</x:v>
      </x:c>
      <x:c r="J56" s="250" t="n">
        <x:f>'机会输入'!F49</x:f>
        <x:v>0.7</x:v>
      </x:c>
      <x:c r="K56" s="251" t="n">
        <x:f>I56*J56</x:f>
        <x:v>6.542524799999999</x:v>
      </x:c>
      <x:c r="L56" s="251" t="n">
        <x:f>K56*'机会输入'!H4</x:f>
        <x:v>2.1590331839999997</x:v>
      </x:c>
      <x:c r="M56" s="245"/>
    </x:row>
    <x:row r="57">
      <x:c r="A57" s="197" t="str">
        <x:v>2029E</x:v>
      </x:c>
      <x:c r="B57" s="197" t="str">
        <x:v>独立参考合计</x:v>
      </x:c>
      <x:c r="C57" s="214"/>
      <x:c r="D57" s="214"/>
      <x:c r="E57" s="214"/>
      <x:c r="F57" s="214"/>
      <x:c r="G57" s="222"/>
      <x:c r="H57" s="214" t="n">
        <x:f>SUM(H50:H56)</x:f>
        <x:v>326.2551349184</x:v>
      </x:c>
      <x:c r="I57" s="214" t="n">
        <x:f>SUM(I50:I56)</x:f>
        <x:v>134.237457118656</x:v>
      </x:c>
      <x:c r="J57" s="222"/>
      <x:c r="K57" s="214" t="n">
        <x:f>SUM(K50:K56)</x:f>
        <x:v>106.97954319492482</x:v>
      </x:c>
      <x:c r="L57" s="214" t="n">
        <x:f>SUM(L50:L56)</x:f>
        <x:v>35.303249254325195</x:v>
      </x:c>
      <x:c r="M57" s="245"/>
    </x:row>
    <x:row r="58">
      <x:c r="A58" s="240" t="str">
        <x:v>2030E</x:v>
      </x:c>
      <x:c r="B58" s="240" t="str">
        <x:v>800G可插拔透镜</x:v>
      </x:c>
      <x:c r="C58" s="251" t="n">
        <x:f>SUM('规格明细'!D54)</x:f>
        <x:v>1800</x:v>
      </x:c>
      <x:c r="D58" s="251" t="n">
        <x:f>IF(C58=0,0,SUM('规格明细'!G54)/C58/10000)</x:f>
        <x:v>10</x:v>
      </x:c>
      <x:c r="E58" s="251" t="n">
        <x:f>SUM('规格明细'!G54)</x:f>
        <x:v>180000000</x:v>
      </x:c>
      <x:c r="F58" s="251" t="n">
        <x:f>IF(E58=0,0,SUM('规格明细'!K54)*100000000/E58)</x:f>
        <x:v>2.23074</x:v>
      </x:c>
      <x:c r="G58" s="250" t="n">
        <x:f>IF(H58=0,0,SUM('规格明细'!L54)/H58)</x:f>
        <x:v>0.09000000000000001</x:v>
      </x:c>
      <x:c r="H58" s="251" t="n">
        <x:f>SUM('规格明细'!K54)</x:f>
        <x:v>4.015332</x:v>
      </x:c>
      <x:c r="I58" s="251" t="n">
        <x:f>SUM('规格明细'!L54)</x:f>
        <x:v>0.36137988000000004</x:v>
      </x:c>
      <x:c r="J58" s="250" t="n">
        <x:f>'机会输入'!G43</x:f>
        <x:v>0.9</x:v>
      </x:c>
      <x:c r="K58" s="251" t="n">
        <x:f>I58*J58</x:f>
        <x:v>0.32524189200000003</x:v>
      </x:c>
      <x:c r="L58" s="251" t="n">
        <x:f>K58*'机会输入'!I4</x:f>
        <x:v>0.10732982436000002</x:v>
      </x:c>
      <x:c r="M58" s="245"/>
    </x:row>
    <x:row r="59">
      <x:c r="A59" s="240" t="str">
        <x:v>2030E</x:v>
      </x:c>
      <x:c r="B59" s="240" t="str">
        <x:v>1.6T可插拔透镜</x:v>
      </x:c>
      <x:c r="C59" s="251" t="n">
        <x:f>SUM('规格明细'!D55)</x:f>
        <x:v>16000</x:v>
      </x:c>
      <x:c r="D59" s="251" t="n">
        <x:f>IF(C59=0,0,SUM('规格明细'!G55)/C59/10000)</x:f>
        <x:v>10</x:v>
      </x:c>
      <x:c r="E59" s="251" t="n">
        <x:f>SUM('规格明细'!G55)</x:f>
        <x:v>1600000000</x:v>
      </x:c>
      <x:c r="F59" s="251" t="n">
        <x:f>IF(E59=0,0,SUM('规格明细'!K55)*100000000/E59)</x:f>
        <x:v>3.123036</x:v>
      </x:c>
      <x:c r="G59" s="250" t="n">
        <x:f>IF(H59=0,0,SUM('规格明细'!L55)/H59)</x:f>
        <x:v>0.09</x:v>
      </x:c>
      <x:c r="H59" s="251" t="n">
        <x:f>SUM('规格明细'!K55)</x:f>
        <x:v>49.968576</x:v>
      </x:c>
      <x:c r="I59" s="251" t="n">
        <x:f>SUM('规格明细'!L55)</x:f>
        <x:v>4.49717184</x:v>
      </x:c>
      <x:c r="J59" s="250" t="n">
        <x:f>'机会输入'!G44</x:f>
        <x:v>0.9</x:v>
      </x:c>
      <x:c r="K59" s="251" t="n">
        <x:f>I59*J59</x:f>
        <x:v>4.047454656</x:v>
      </x:c>
      <x:c r="L59" s="251" t="n">
        <x:f>K59*'机会输入'!I4</x:f>
        <x:v>1.3356600364800002</x:v>
      </x:c>
      <x:c r="M59" s="245"/>
    </x:row>
    <x:row r="60">
      <x:c r="A60" s="240" t="str">
        <x:v>2030E</x:v>
      </x:c>
      <x:c r="B60" s="240" t="str">
        <x:v>OCS NxN透镜阵列</x:v>
      </x:c>
      <x:c r="C60" s="251" t="n">
        <x:f>SUM('规格明细'!D56,'规格明细'!D57)</x:f>
        <x:v>45</x:v>
      </x:c>
      <x:c r="D60" s="251" t="n">
        <x:f>IF(C60=0,0,SUM('规格明细'!G56,'规格明细'!G57)/C60/10000)</x:f>
        <x:v>544</x:v>
      </x:c>
      <x:c r="E60" s="251" t="n">
        <x:f>SUM('规格明细'!G56,'规格明细'!G57)</x:f>
        <x:v>244800000</x:v>
      </x:c>
      <x:c r="F60" s="251" t="n">
        <x:f>IF(E60=0,0,SUM('规格明细'!K56,'规格明细'!K57)*100000000/E60)</x:f>
        <x:v>16.466823529411766</x:v>
      </x:c>
      <x:c r="G60" s="250" t="n">
        <x:f>IF(H60=0,0,SUM('规格明细'!L56,'规格明细'!L57)/H60)</x:f>
        <x:v>0.5821875000000001</x:v>
      </x:c>
      <x:c r="H60" s="251" t="n">
        <x:f>SUM('规格明细'!K56,'规格明细'!K57)</x:f>
        <x:v>40.310784000000005</x:v>
      </x:c>
      <x:c r="I60" s="251" t="n">
        <x:f>SUM('规格明细'!L56,'规格明细'!L57)</x:f>
        <x:v>23.468434560000006</x:v>
      </x:c>
      <x:c r="J60" s="250" t="n">
        <x:f>'机会输入'!G45</x:f>
        <x:v>0.8</x:v>
      </x:c>
      <x:c r="K60" s="251" t="n">
        <x:f>I60*J60</x:f>
        <x:v>18.774747648000005</x:v>
      </x:c>
      <x:c r="L60" s="251" t="n">
        <x:f>K60*'机会输入'!I4</x:f>
        <x:v>6.195666723840002</x:v>
      </x:c>
      <x:c r="M60" s="245"/>
    </x:row>
    <x:row r="61">
      <x:c r="A61" s="240" t="str">
        <x:v>2030E</x:v>
      </x:c>
      <x:c r="B61" s="240" t="str">
        <x:v>FAU V型槽</x:v>
      </x:c>
      <x:c r="C61" s="251" t="n">
        <x:f>$G$4*MAX(0,'机会输入'!$B$35)</x:f>
        <x:v>8922</x:v>
      </x:c>
      <x:c r="D61" s="251" t="n">
        <x:f>$C$5*$C$6</x:f>
        <x:v>36</x:v>
      </x:c>
      <x:c r="E61" s="251" t="n">
        <x:f>C61*10000*D61</x:f>
        <x:v>3211920000</x:v>
      </x:c>
      <x:c r="F61" s="251" t="n">
        <x:f>('机会输入'!I19)*MAX(0,'机会输入'!$C$35)*'规格输入'!$E$7*MAX(0,'机会输入'!I5)</x:f>
        <x:v>4.4416512</x:v>
      </x:c>
      <x:c r="G61" s="250" t="n">
        <x:f>MAX(0,MIN(1,'机会输入'!I20*MAX(0,'机会输入'!$H$35)))</x:f>
        <x:v>0.5850000000000001</x:v>
      </x:c>
      <x:c r="H61" s="251" t="n">
        <x:f>E61*F61/100000000</x:f>
        <x:v>142.66228322304</x:v>
      </x:c>
      <x:c r="I61" s="251" t="n">
        <x:f>H61*G61</x:f>
        <x:v>83.4574356854784</x:v>
      </x:c>
      <x:c r="J61" s="250" t="n">
        <x:f>'机会输入'!G46</x:f>
        <x:v>0.8</x:v>
      </x:c>
      <x:c r="K61" s="251" t="n">
        <x:f>I61*J61</x:f>
        <x:v>66.76594854838272</x:v>
      </x:c>
      <x:c r="L61" s="251" t="n">
        <x:f>K61*'机会输入'!I4</x:f>
        <x:v>22.0327630209663</x:v>
      </x:c>
      <x:c r="M61" s="245"/>
    </x:row>
    <x:row r="62">
      <x:c r="A62" s="240" t="str">
        <x:v>2030E</x:v>
      </x:c>
      <x:c r="B62" s="240" t="str">
        <x:v>FAU棱镜透镜阵列</x:v>
      </x:c>
      <x:c r="C62" s="251" t="n">
        <x:f>$G$4*MAX(0,'机会输入'!$B$35)</x:f>
        <x:v>8922</x:v>
      </x:c>
      <x:c r="D62" s="251" t="n">
        <x:f>$C$5*$C$6</x:f>
        <x:v>36</x:v>
      </x:c>
      <x:c r="E62" s="251" t="n">
        <x:f>C62*10000*D62</x:f>
        <x:v>3211920000</x:v>
      </x:c>
      <x:c r="F62" s="251" t="n">
        <x:f>('机会输入'!I23)*MAX(0,'机会输入'!$C$35)*'规格输入'!$E$7*MAX(0,'机会输入'!I5)</x:f>
        <x:v>6.345216000000001</x:v>
      </x:c>
      <x:c r="G62" s="250" t="n">
        <x:f>'机会输入'!I24</x:f>
        <x:v>0.45</x:v>
      </x:c>
      <x:c r="H62" s="251" t="n">
        <x:f>E62*F62/100000000</x:f>
        <x:v>203.80326174720003</x:v>
      </x:c>
      <x:c r="I62" s="251" t="n">
        <x:f>H62*G62</x:f>
        <x:v>91.71146778624001</x:v>
      </x:c>
      <x:c r="J62" s="250" t="n">
        <x:f>'机会输入'!G47</x:f>
        <x:v>0.8</x:v>
      </x:c>
      <x:c r="K62" s="251" t="n">
        <x:f>I62*J62</x:f>
        <x:v>73.36917422899201</x:v>
      </x:c>
      <x:c r="L62" s="251" t="n">
        <x:f>K62*'机会输入'!I4</x:f>
        <x:v>24.211827495567363</x:v>
      </x:c>
      <x:c r="M62" s="245"/>
    </x:row>
    <x:row r="63">
      <x:c r="A63" s="240" t="str">
        <x:v>2030E</x:v>
      </x:c>
      <x:c r="B63" s="240" t="str">
        <x:v>ELS透镜＋热沉</x:v>
      </x:c>
      <x:c r="C63" s="251" t="n">
        <x:f>$G$4*MAX(0,'机会输入'!$B$35)</x:f>
        <x:v>8922</x:v>
      </x:c>
      <x:c r="D63" s="251" t="n">
        <x:f>$C$8/$C$7</x:f>
        <x:v>4</x:v>
      </x:c>
      <x:c r="E63" s="251" t="n">
        <x:f>C63*10000*D63</x:f>
        <x:v>356880000</x:v>
      </x:c>
      <x:c r="F63" s="251" t="n">
        <x:f>('机会输入'!I26+'机会输入'!I27)*MAX(0,'机会输入'!$C$35)*'规格输入'!$E$7*MAX(0,'机会输入'!I5)</x:f>
        <x:v>31.726080000000007</x:v>
      </x:c>
      <x:c r="G63" s="250" t="n">
        <x:f>MAX(0,MIN(1,'机会输入'!I28*MAX(0,'机会输入'!$H$35)))</x:f>
        <x:v>0.36000000000000004</x:v>
      </x:c>
      <x:c r="H63" s="251" t="n">
        <x:f>E63*F63/100000000</x:f>
        <x:v>113.22403430400001</x:v>
      </x:c>
      <x:c r="I63" s="251" t="n">
        <x:f>H63*G63</x:f>
        <x:v>40.76065234944001</x:v>
      </x:c>
      <x:c r="J63" s="250" t="n">
        <x:f>'机会输入'!G48</x:f>
        <x:v>0.8</x:v>
      </x:c>
      <x:c r="K63" s="251" t="n">
        <x:f>I63*J63</x:f>
        <x:v>32.60852187955201</x:v>
      </x:c>
      <x:c r="L63" s="251" t="n">
        <x:f>K63*'机会输入'!I4</x:f>
        <x:v>10.760812220252163</x:v>
      </x:c>
      <x:c r="M63" s="245"/>
    </x:row>
    <x:row r="64">
      <x:c r="A64" s="240" t="str">
        <x:v>2030E</x:v>
      </x:c>
      <x:c r="B64" s="240" t="str">
        <x:v>FAU关键尺寸量测设备</x:v>
      </x:c>
      <x:c r="C64" s="251" t="n">
        <x:f>$G$4*MAX(0,'机会输入'!$B$35)</x:f>
        <x:v>8922</x:v>
      </x:c>
      <x:c r="D64" s="251" t="n">
        <x:f>$C$5/'规格输入'!$E$10</x:f>
        <x:v>0.001</x:v>
      </x:c>
      <x:c r="E64" s="251" t="n">
        <x:f>C64*10000*D64</x:f>
        <x:v>89220</x:v>
      </x:c>
      <x:c r="F64" s="251" t="n">
        <x:f>('机会输入'!I30)*MAX(0,'机会输入'!$C$35)*'规格输入'!$E$7</x:f>
        <x:v>54400</x:v>
      </x:c>
      <x:c r="G64" s="250" t="n">
        <x:f>MAX(0,MIN(1,'机会输入'!I31*MAX(0,'机会输入'!$H$35)))</x:f>
        <x:v>0.49500000000000005</x:v>
      </x:c>
      <x:c r="H64" s="251" t="n">
        <x:f>E64*F64/100000000</x:f>
        <x:v>48.53568</x:v>
      </x:c>
      <x:c r="I64" s="251" t="n">
        <x:f>H64*G64</x:f>
        <x:v>24.0251616</x:v>
      </x:c>
      <x:c r="J64" s="250" t="n">
        <x:f>'机会输入'!G49</x:f>
        <x:v>0.7</x:v>
      </x:c>
      <x:c r="K64" s="251" t="n">
        <x:f>I64*J64</x:f>
        <x:v>16.81761312</x:v>
      </x:c>
      <x:c r="L64" s="251" t="n">
        <x:f>K64*'机会输入'!I4</x:f>
        <x:v>5.549812329600001</x:v>
      </x:c>
      <x:c r="M64" s="245"/>
    </x:row>
    <x:row r="65">
      <x:c r="A65" s="197" t="str">
        <x:v>2030E</x:v>
      </x:c>
      <x:c r="B65" s="197" t="str">
        <x:v>独立参考合计</x:v>
      </x:c>
      <x:c r="C65" s="214"/>
      <x:c r="D65" s="214"/>
      <x:c r="E65" s="214"/>
      <x:c r="F65" s="214"/>
      <x:c r="G65" s="222"/>
      <x:c r="H65" s="214" t="n">
        <x:f>SUM(H58:H64)</x:f>
        <x:v>602.51995127424</x:v>
      </x:c>
      <x:c r="I65" s="214" t="n">
        <x:f>SUM(I58:I64)</x:f>
        <x:v>268.2817037011584</x:v>
      </x:c>
      <x:c r="J65" s="222"/>
      <x:c r="K65" s="214" t="n">
        <x:f>SUM(K58:K64)</x:f>
        <x:v>212.70870197292675</x:v>
      </x:c>
      <x:c r="L65" s="214" t="n">
        <x:f>SUM(L58:L64)</x:f>
        <x:v>70.19387165106583</x:v>
      </x:c>
      <x:c r="M65" s="245"/>
    </x:row>
    <x:row r="66">
      <x:c r="A66" s="245"/>
      <x:c r="B66" s="245"/>
      <x:c r="C66" s="245"/>
      <x:c r="D66" s="245"/>
      <x:c r="E66" s="245"/>
      <x:c r="F66" s="245"/>
      <x:c r="G66" s="245"/>
      <x:c r="H66" s="245"/>
      <x:c r="I66" s="245"/>
      <x:c r="J66" s="245"/>
      <x:c r="K66" s="245"/>
      <x:c r="L66" s="245"/>
      <x:c r="M66" s="245"/>
    </x:row>
    <x:row r="67">
      <x:c r="A67" s="245"/>
      <x:c r="B67" s="245"/>
      <x:c r="C67" s="245"/>
      <x:c r="D67" s="245"/>
      <x:c r="E67" s="245"/>
      <x:c r="F67" s="245"/>
      <x:c r="G67" s="245"/>
      <x:c r="H67" s="245"/>
      <x:c r="I67" s="245"/>
      <x:c r="J67" s="245"/>
      <x:c r="K67" s="245"/>
      <x:c r="L67" s="245"/>
      <x:c r="M67" s="245"/>
    </x:row>
    <x:row r="68">
      <x:c r="A68" s="245"/>
      <x:c r="B68" s="245"/>
      <x:c r="C68" s="245"/>
      <x:c r="D68" s="245"/>
      <x:c r="E68" s="245"/>
      <x:c r="F68" s="245"/>
      <x:c r="G68" s="245"/>
      <x:c r="H68" s="245"/>
      <x:c r="I68" s="245"/>
      <x:c r="J68" s="245"/>
      <x:c r="K68" s="245"/>
      <x:c r="L68" s="245"/>
      <x:c r="M68" s="245"/>
    </x:row>
    <x:row r="69">
      <x:c r="A69" s="176" t="str">
        <x:v>基准情形：独立光引擎法</x:v>
      </x:c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245"/>
    </x:row>
    <x:row r="70">
      <x:c r="A70" s="176" t="str">
        <x:v>年度</x:v>
      </x:c>
      <x:c r="B70" s="176" t="str">
        <x:v>产品</x:v>
      </x:c>
      <x:c r="C70" s="176" t="str">
        <x:v>需求量（万）</x:v>
      </x:c>
      <x:c r="D70" s="176" t="str">
        <x:v>单位用量</x:v>
      </x:c>
      <x:c r="E70" s="176" t="str">
        <x:v>组件总量</x:v>
      </x:c>
      <x:c r="F70" s="176" t="str">
        <x:v>有效单价</x:v>
      </x:c>
      <x:c r="G70" s="176" t="str">
        <x:v>公司份额</x:v>
      </x:c>
      <x:c r="H70" s="176" t="str">
        <x:v>行业空间（亿元）</x:v>
      </x:c>
      <x:c r="I70" s="176" t="str">
        <x:v>理论收入（亿元）</x:v>
      </x:c>
      <x:c r="J70" s="176" t="str">
        <x:v>收入兑现率</x:v>
      </x:c>
      <x:c r="K70" s="176" t="str">
        <x:v>兑现收入（亿元）</x:v>
      </x:c>
      <x:c r="L70" s="176" t="str">
        <x:v>业务利润（亿元）</x:v>
      </x:c>
      <x:c r="M70" s="245"/>
    </x:row>
    <x:row r="71">
      <x:c r="A71" s="240" t="str">
        <x:v>2026E</x:v>
      </x:c>
      <x:c r="B71" s="240" t="str">
        <x:v>800G可插拔透镜</x:v>
      </x:c>
      <x:c r="C71" s="251" t="n">
        <x:f>SUM('规格明细'!D71)</x:f>
        <x:v>5600</x:v>
      </x:c>
      <x:c r="D71" s="251" t="n">
        <x:f>IF(C71=0,0,SUM('规格明细'!G71)/C71/10000)</x:f>
        <x:v>10</x:v>
      </x:c>
      <x:c r="E71" s="251" t="n">
        <x:f>SUM('规格明细'!G71)</x:f>
        <x:v>560000000</x:v>
      </x:c>
      <x:c r="F71" s="251" t="n">
        <x:f>IF(E71=0,0,SUM('规格明细'!K71)*100000000/E71)</x:f>
        <x:v>4</x:v>
      </x:c>
      <x:c r="G71" s="250" t="n">
        <x:f>IF(H71=0,0,SUM('规格明细'!L71)/H71)</x:f>
        <x:v>0.04</x:v>
      </x:c>
      <x:c r="H71" s="251" t="n">
        <x:f>SUM('规格明细'!K71)</x:f>
        <x:v>22.4</x:v>
      </x:c>
      <x:c r="I71" s="251" t="n">
        <x:f>SUM('规格明细'!L71)</x:f>
        <x:v>0.8959999999999999</x:v>
      </x:c>
      <x:c r="J71" s="250" t="n">
        <x:f>'机会输入'!C50</x:f>
        <x:v>0.8</x:v>
      </x:c>
      <x:c r="K71" s="251" t="n">
        <x:f>I71*J71</x:f>
        <x:v>0.7168</x:v>
      </x:c>
      <x:c r="L71" s="251" t="n">
        <x:f>K71*'机会输入'!E4</x:f>
        <x:v>0.236544</x:v>
      </x:c>
      <x:c r="M71" s="245"/>
    </x:row>
    <x:row r="72">
      <x:c r="A72" s="240" t="str">
        <x:v>2026E</x:v>
      </x:c>
      <x:c r="B72" s="240" t="str">
        <x:v>1.6T可插拔透镜</x:v>
      </x:c>
      <x:c r="C72" s="251" t="n">
        <x:f>SUM('规格明细'!D72)</x:f>
        <x:v>1880</x:v>
      </x:c>
      <x:c r="D72" s="251" t="n">
        <x:f>IF(C72=0,0,SUM('规格明细'!G72)/C72/10000)</x:f>
        <x:v>10</x:v>
      </x:c>
      <x:c r="E72" s="251" t="n">
        <x:f>SUM('规格明细'!G72)</x:f>
        <x:v>188000000</x:v>
      </x:c>
      <x:c r="F72" s="251" t="n">
        <x:f>IF(E72=0,0,SUM('规格明细'!K72)*100000000/E72)</x:f>
        <x:v>5.6</x:v>
      </x:c>
      <x:c r="G72" s="250" t="n">
        <x:f>IF(H72=0,0,SUM('规格明细'!L72)/H72)</x:f>
        <x:v>0.04</x:v>
      </x:c>
      <x:c r="H72" s="251" t="n">
        <x:f>SUM('规格明细'!K72)</x:f>
        <x:v>10.527999999999999</x:v>
      </x:c>
      <x:c r="I72" s="251" t="n">
        <x:f>SUM('规格明细'!L72)</x:f>
        <x:v>0.42111999999999994</x:v>
      </x:c>
      <x:c r="J72" s="250" t="n">
        <x:f>'机会输入'!C51</x:f>
        <x:v>0.8</x:v>
      </x:c>
      <x:c r="K72" s="251" t="n">
        <x:f>I72*J72</x:f>
        <x:v>0.336896</x:v>
      </x:c>
      <x:c r="L72" s="251" t="n">
        <x:f>K72*'机会输入'!E4</x:f>
        <x:v>0.11117568</x:v>
      </x:c>
      <x:c r="M72" s="245"/>
    </x:row>
    <x:row r="73">
      <x:c r="A73" s="240" t="str">
        <x:v>2026E</x:v>
      </x:c>
      <x:c r="B73" s="240" t="str">
        <x:v>OCS NxN透镜阵列</x:v>
      </x:c>
      <x:c r="C73" s="251" t="n">
        <x:f>SUM('规格明细'!D73,'规格明细'!D74)</x:f>
        <x:v>2</x:v>
      </x:c>
      <x:c r="D73" s="251" t="n">
        <x:f>IF(C73=0,0,SUM('规格明细'!G73,'规格明细'!G74)/C73/10000)</x:f>
        <x:v>352</x:v>
      </x:c>
      <x:c r="E73" s="251" t="n">
        <x:f>SUM('规格明细'!G73,'规格明细'!G74)</x:f>
        <x:v>7040000</x:v>
      </x:c>
      <x:c r="F73" s="251" t="n">
        <x:f>IF(E73=0,0,SUM('规格明细'!K73,'规格明细'!K74)*100000000/E73)</x:f>
        <x:v>29.09090909090909</x:v>
      </x:c>
      <x:c r="G73" s="250" t="n">
        <x:f>IF(H73=0,0,SUM('规格明细'!L73,'规格明细'!L74)/H73)</x:f>
        <x:v>0.9312500000000001</x:v>
      </x:c>
      <x:c r="H73" s="251" t="n">
        <x:f>SUM('规格明细'!K73,'规格明细'!K74)</x:f>
        <x:v>2.048</x:v>
      </x:c>
      <x:c r="I73" s="251" t="n">
        <x:f>SUM('规格明细'!L73,'规格明细'!L74)</x:f>
        <x:v>1.9072000000000002</x:v>
      </x:c>
      <x:c r="J73" s="250" t="n">
        <x:f>'机会输入'!C52</x:f>
        <x:v>0.7</x:v>
      </x:c>
      <x:c r="K73" s="251" t="n">
        <x:f>I73*J73</x:f>
        <x:v>1.33504</x:v>
      </x:c>
      <x:c r="L73" s="251" t="n">
        <x:f>K73*'机会输入'!E4</x:f>
        <x:v>0.44056320000000004</x:v>
      </x:c>
      <x:c r="M73" s="245"/>
    </x:row>
    <x:row r="74">
      <x:c r="A74" s="240" t="str">
        <x:v>2026E</x:v>
      </x:c>
      <x:c r="B74" s="240" t="str">
        <x:v>FAU V型槽</x:v>
      </x:c>
      <x:c r="C74" s="251" t="n">
        <x:f>$C$4*MAX(0,'机会输入'!$B$36)</x:f>
        <x:v>64</x:v>
      </x:c>
      <x:c r="D74" s="251" t="n">
        <x:f>$C$5*$C$6</x:f>
        <x:v>36</x:v>
      </x:c>
      <x:c r="E74" s="251" t="n">
        <x:f>C74*10000*D74</x:f>
        <x:v>23040000</x:v>
      </x:c>
      <x:c r="F74" s="251" t="n">
        <x:f>('机会输入'!E19)*MAX(0,'机会输入'!$C$36)*'规格输入'!$E$7*MAX(0,'机会输入'!E5)</x:f>
        <x:v>8.959999999999999</x:v>
      </x:c>
      <x:c r="G74" s="250" t="n">
        <x:f>MAX(0,MIN(1,'机会输入'!E20*MAX(0,'机会输入'!$D$36)))</x:f>
        <x:v>0.45</x:v>
      </x:c>
      <x:c r="H74" s="251" t="n">
        <x:f>E74*F74/100000000</x:f>
        <x:v>2.0643839999999996</x:v>
      </x:c>
      <x:c r="I74" s="251" t="n">
        <x:f>H74*G74</x:f>
        <x:v>0.9289727999999998</x:v>
      </x:c>
      <x:c r="J74" s="250" t="n">
        <x:f>'机会输入'!C53</x:f>
        <x:v>0.5</x:v>
      </x:c>
      <x:c r="K74" s="251" t="n">
        <x:f>I74*J74</x:f>
        <x:v>0.4644863999999999</x:v>
      </x:c>
      <x:c r="L74" s="251" t="n">
        <x:f>K74*'机会输入'!E4</x:f>
        <x:v>0.15328051199999998</x:v>
      </x:c>
      <x:c r="M74" s="245"/>
    </x:row>
    <x:row r="75">
      <x:c r="A75" s="240" t="str">
        <x:v>2026E</x:v>
      </x:c>
      <x:c r="B75" s="240" t="str">
        <x:v>FAU棱镜透镜阵列</x:v>
      </x:c>
      <x:c r="C75" s="251" t="n">
        <x:f>$C$4*MAX(0,'机会输入'!$B$36)</x:f>
        <x:v>64</x:v>
      </x:c>
      <x:c r="D75" s="251" t="n">
        <x:f>$C$5*$C$6</x:f>
        <x:v>36</x:v>
      </x:c>
      <x:c r="E75" s="251" t="n">
        <x:f>C75*10000*D75</x:f>
        <x:v>23040000</x:v>
      </x:c>
      <x:c r="F75" s="251" t="n">
        <x:f>('机会输入'!E23)*MAX(0,'机会输入'!$C$36)*'规格输入'!$E$7*MAX(0,'机会输入'!E5)</x:f>
        <x:v>12.8</x:v>
      </x:c>
      <x:c r="G75" s="250" t="n">
        <x:f>'机会输入'!E24</x:f>
        <x:v>0.45</x:v>
      </x:c>
      <x:c r="H75" s="251" t="n">
        <x:f>E75*F75/100000000</x:f>
        <x:v>2.94912</x:v>
      </x:c>
      <x:c r="I75" s="251" t="n">
        <x:f>H75*G75</x:f>
        <x:v>1.327104</x:v>
      </x:c>
      <x:c r="J75" s="250" t="n">
        <x:f>'机会输入'!C54</x:f>
        <x:v>0.5</x:v>
      </x:c>
      <x:c r="K75" s="251" t="n">
        <x:f>I75*J75</x:f>
        <x:v>0.663552</x:v>
      </x:c>
      <x:c r="L75" s="251" t="n">
        <x:f>K75*'机会输入'!E4</x:f>
        <x:v>0.21897216000000003</x:v>
      </x:c>
      <x:c r="M75" s="245"/>
    </x:row>
    <x:row r="76">
      <x:c r="A76" s="240" t="str">
        <x:v>2026E</x:v>
      </x:c>
      <x:c r="B76" s="240" t="str">
        <x:v>ELS透镜＋热沉</x:v>
      </x:c>
      <x:c r="C76" s="251" t="n">
        <x:f>$C$4*MAX(0,'机会输入'!$B$36)</x:f>
        <x:v>64</x:v>
      </x:c>
      <x:c r="D76" s="251" t="n">
        <x:f>$C$8/$C$7</x:f>
        <x:v>4</x:v>
      </x:c>
      <x:c r="E76" s="251" t="n">
        <x:f>C76*10000*D76</x:f>
        <x:v>2560000</x:v>
      </x:c>
      <x:c r="F76" s="251" t="n">
        <x:f>('机会输入'!E26+'机会输入'!E27)*MAX(0,'机会输入'!$C$36)*'规格输入'!$E$7*MAX(0,'机会输入'!E5)</x:f>
        <x:v>64</x:v>
      </x:c>
      <x:c r="G76" s="250" t="n">
        <x:f>MAX(0,MIN(1,'机会输入'!E28*MAX(0,'机会输入'!$D$36)))</x:f>
        <x:v>0.45</x:v>
      </x:c>
      <x:c r="H76" s="251" t="n">
        <x:f>E76*F76/100000000</x:f>
        <x:v>1.6384</x:v>
      </x:c>
      <x:c r="I76" s="251" t="n">
        <x:f>H76*G76</x:f>
        <x:v>0.73728</x:v>
      </x:c>
      <x:c r="J76" s="250" t="n">
        <x:f>'机会输入'!C55</x:f>
        <x:v>0.5</x:v>
      </x:c>
      <x:c r="K76" s="251" t="n">
        <x:f>I76*J76</x:f>
        <x:v>0.36864</x:v>
      </x:c>
      <x:c r="L76" s="251" t="n">
        <x:f>K76*'机会输入'!E4</x:f>
        <x:v>0.12165120000000001</x:v>
      </x:c>
      <x:c r="M76" s="245"/>
    </x:row>
    <x:row r="77">
      <x:c r="A77" s="240" t="str">
        <x:v>2026E</x:v>
      </x:c>
      <x:c r="B77" s="240" t="str">
        <x:v>FAU关键尺寸量测设备</x:v>
      </x:c>
      <x:c r="C77" s="251" t="n">
        <x:f>$C$4*MAX(0,'机会输入'!$B$36)</x:f>
        <x:v>64</x:v>
      </x:c>
      <x:c r="D77" s="251" t="n">
        <x:f>$C$5/'规格输入'!$E$10</x:f>
        <x:v>0.001</x:v>
      </x:c>
      <x:c r="E77" s="251" t="n">
        <x:f>C77*10000*D77</x:f>
        <x:v>640</x:v>
      </x:c>
      <x:c r="F77" s="251" t="n">
        <x:f>('机会输入'!E30)*MAX(0,'机会输入'!$C$36)*'规格输入'!$E$7</x:f>
        <x:v>64000</x:v>
      </x:c>
      <x:c r="G77" s="250" t="n">
        <x:f>MAX(0,MIN(1,'机会输入'!E31*MAX(0,'机会输入'!$D$36)))</x:f>
        <x:v>0.1</x:v>
      </x:c>
      <x:c r="H77" s="251" t="n">
        <x:f>E77*F77/100000000</x:f>
        <x:v>0.4096</x:v>
      </x:c>
      <x:c r="I77" s="251" t="n">
        <x:f>H77*G77</x:f>
        <x:v>0.04096</x:v>
      </x:c>
      <x:c r="J77" s="250" t="n">
        <x:f>'机会输入'!C56</x:f>
        <x:v>0</x:v>
      </x:c>
      <x:c r="K77" s="251" t="n">
        <x:f>I77*J77</x:f>
        <x:v>0</x:v>
      </x:c>
      <x:c r="L77" s="251" t="n">
        <x:f>K77*'机会输入'!E4</x:f>
        <x:v>0</x:v>
      </x:c>
      <x:c r="M77" s="245"/>
    </x:row>
    <x:row r="78">
      <x:c r="A78" s="197" t="str">
        <x:v>2026E</x:v>
      </x:c>
      <x:c r="B78" s="197" t="str">
        <x:v>独立参考合计</x:v>
      </x:c>
      <x:c r="C78" s="214"/>
      <x:c r="D78" s="214"/>
      <x:c r="E78" s="214"/>
      <x:c r="F78" s="214"/>
      <x:c r="G78" s="222"/>
      <x:c r="H78" s="214" t="n">
        <x:f>SUM(H71:H77)</x:f>
        <x:v>42.03750399999999</x:v>
      </x:c>
      <x:c r="I78" s="214" t="n">
        <x:f>SUM(I71:I77)</x:f>
        <x:v>6.2586368000000006</x:v>
      </x:c>
      <x:c r="J78" s="222"/>
      <x:c r="K78" s="214" t="n">
        <x:f>SUM(K71:K77)</x:f>
        <x:v>3.8854143999999997</x:v>
      </x:c>
      <x:c r="L78" s="214" t="n">
        <x:f>SUM(L71:L77)</x:f>
        <x:v>1.282186752</x:v>
      </x:c>
      <x:c r="M78" s="245"/>
    </x:row>
    <x:row r="79">
      <x:c r="A79" s="240" t="str">
        <x:v>2027E</x:v>
      </x:c>
      <x:c r="B79" s="240" t="str">
        <x:v>800G可插拔透镜</x:v>
      </x:c>
      <x:c r="C79" s="251" t="n">
        <x:f>SUM('规格明细'!D83)</x:f>
        <x:v>7250</x:v>
      </x:c>
      <x:c r="D79" s="251" t="n">
        <x:f>IF(C79=0,0,SUM('规格明细'!G83)/C79/10000)</x:f>
        <x:v>10</x:v>
      </x:c>
      <x:c r="E79" s="251" t="n">
        <x:f>SUM('规格明细'!G83)</x:f>
        <x:v>725000000</x:v>
      </x:c>
      <x:c r="F79" s="251" t="n">
        <x:f>IF(E79=0,0,SUM('规格明细'!K83)*100000000/E79)</x:f>
        <x:v>3.6</x:v>
      </x:c>
      <x:c r="G79" s="250" t="n">
        <x:f>IF(H79=0,0,SUM('规格明细'!L83)/H79)</x:f>
        <x:v>0.09</x:v>
      </x:c>
      <x:c r="H79" s="251" t="n">
        <x:f>SUM('规格明细'!K83)</x:f>
        <x:v>26.1</x:v>
      </x:c>
      <x:c r="I79" s="251" t="n">
        <x:f>SUM('规格明细'!L83)</x:f>
        <x:v>2.349</x:v>
      </x:c>
      <x:c r="J79" s="250" t="n">
        <x:f>'机会输入'!D50</x:f>
        <x:v>0.9</x:v>
      </x:c>
      <x:c r="K79" s="251" t="n">
        <x:f>I79*J79</x:f>
        <x:v>2.1141</x:v>
      </x:c>
      <x:c r="L79" s="251" t="n">
        <x:f>K79*'机会输入'!F4</x:f>
        <x:v>0.6976530000000001</x:v>
      </x:c>
      <x:c r="M79" s="245"/>
    </x:row>
    <x:row r="80">
      <x:c r="A80" s="240" t="str">
        <x:v>2027E</x:v>
      </x:c>
      <x:c r="B80" s="240" t="str">
        <x:v>1.6T可插拔透镜</x:v>
      </x:c>
      <x:c r="C80" s="251" t="n">
        <x:f>SUM('规格明细'!D84)</x:f>
        <x:v>6400</x:v>
      </x:c>
      <x:c r="D80" s="251" t="n">
        <x:f>IF(C80=0,0,SUM('规格明细'!G84)/C80/10000)</x:f>
        <x:v>10</x:v>
      </x:c>
      <x:c r="E80" s="251" t="n">
        <x:f>SUM('规格明细'!G84)</x:f>
        <x:v>640000000</x:v>
      </x:c>
      <x:c r="F80" s="251" t="n">
        <x:f>IF(E80=0,0,SUM('规格明细'!K84)*100000000/E80)</x:f>
        <x:v>5.04</x:v>
      </x:c>
      <x:c r="G80" s="250" t="n">
        <x:f>IF(H80=0,0,SUM('规格明细'!L84)/H80)</x:f>
        <x:v>0.09</x:v>
      </x:c>
      <x:c r="H80" s="251" t="n">
        <x:f>SUM('规格明细'!K84)</x:f>
        <x:v>32.256</x:v>
      </x:c>
      <x:c r="I80" s="251" t="n">
        <x:f>SUM('规格明细'!L84)</x:f>
        <x:v>2.90304</x:v>
      </x:c>
      <x:c r="J80" s="250" t="n">
        <x:f>'机会输入'!D51</x:f>
        <x:v>0.9</x:v>
      </x:c>
      <x:c r="K80" s="251" t="n">
        <x:f>I80*J80</x:f>
        <x:v>2.612736</x:v>
      </x:c>
      <x:c r="L80" s="251" t="n">
        <x:f>K80*'机会输入'!F4</x:f>
        <x:v>0.86220288</x:v>
      </x:c>
      <x:c r="M80" s="245"/>
    </x:row>
    <x:row r="81">
      <x:c r="A81" s="240" t="str">
        <x:v>2027E</x:v>
      </x:c>
      <x:c r="B81" s="240" t="str">
        <x:v>OCS NxN透镜阵列</x:v>
      </x:c>
      <x:c r="C81" s="251" t="n">
        <x:f>SUM('规格明细'!D85,'规格明细'!D86)</x:f>
        <x:v>10</x:v>
      </x:c>
      <x:c r="D81" s="251" t="n">
        <x:f>IF(C81=0,0,SUM('规格明细'!G85,'规格明细'!G86)/C81/10000)</x:f>
        <x:v>409.6</x:v>
      </x:c>
      <x:c r="E81" s="251" t="n">
        <x:f>SUM('规格明细'!G85,'规格明细'!G86)</x:f>
        <x:v>40960000</x:v>
      </x:c>
      <x:c r="F81" s="251" t="n">
        <x:f>IF(E81=0,0,SUM('规格明细'!K85,'规格明细'!K86)*100000000/E81)</x:f>
        <x:v>26</x:v>
      </x:c>
      <x:c r="G81" s="250" t="n">
        <x:f>IF(H81=0,0,SUM('规格明细'!L85,'规格明细'!L86)/H81)</x:f>
        <x:v>0.9384615384615387</x:v>
      </x:c>
      <x:c r="H81" s="251" t="n">
        <x:f>SUM('规格明细'!K85,'规格明细'!K86)</x:f>
        <x:v>10.6496</x:v>
      </x:c>
      <x:c r="I81" s="251" t="n">
        <x:f>SUM('规格明细'!L85,'规格明细'!L86)</x:f>
        <x:v>9.994240000000001</x:v>
      </x:c>
      <x:c r="J81" s="250" t="n">
        <x:f>'机会输入'!D52</x:f>
        <x:v>0.8</x:v>
      </x:c>
      <x:c r="K81" s="251" t="n">
        <x:f>I81*J81</x:f>
        <x:v>7.995392000000002</x:v>
      </x:c>
      <x:c r="L81" s="251" t="n">
        <x:f>K81*'机会输入'!F4</x:f>
        <x:v>2.6384793600000007</x:v>
      </x:c>
      <x:c r="M81" s="245"/>
    </x:row>
    <x:row r="82">
      <x:c r="A82" s="240" t="str">
        <x:v>2027E</x:v>
      </x:c>
      <x:c r="B82" s="240" t="str">
        <x:v>FAU V型槽</x:v>
      </x:c>
      <x:c r="C82" s="251" t="n">
        <x:f>$D$4*MAX(0,'机会输入'!$B$36)</x:f>
        <x:v>400</x:v>
      </x:c>
      <x:c r="D82" s="251" t="n">
        <x:f>$C$5*$C$6</x:f>
        <x:v>36</x:v>
      </x:c>
      <x:c r="E82" s="251" t="n">
        <x:f>C82*10000*D82</x:f>
        <x:v>144000000</x:v>
      </x:c>
      <x:c r="F82" s="251" t="n">
        <x:f>('机会输入'!F19)*MAX(0,'机会输入'!$C$36)*'规格输入'!$E$7*MAX(0,'机会输入'!F5)</x:f>
        <x:v>7.167999999999999</x:v>
      </x:c>
      <x:c r="G82" s="250" t="n">
        <x:f>MAX(0,MIN(1,'机会输入'!F20*MAX(0,'机会输入'!$E$36)))</x:f>
        <x:v>0.5</x:v>
      </x:c>
      <x:c r="H82" s="251" t="n">
        <x:f>E82*F82/100000000</x:f>
        <x:v>10.321919999999999</x:v>
      </x:c>
      <x:c r="I82" s="251" t="n">
        <x:f>H82*G82</x:f>
        <x:v>5.160959999999999</x:v>
      </x:c>
      <x:c r="J82" s="250" t="n">
        <x:f>'机会输入'!D53</x:f>
        <x:v>0.7</x:v>
      </x:c>
      <x:c r="K82" s="251" t="n">
        <x:f>I82*J82</x:f>
        <x:v>3.6126719999999994</x:v>
      </x:c>
      <x:c r="L82" s="251" t="n">
        <x:f>K82*'机会输入'!F4</x:f>
        <x:v>1.19218176</x:v>
      </x:c>
      <x:c r="M82" s="245"/>
    </x:row>
    <x:row r="83">
      <x:c r="A83" s="240" t="str">
        <x:v>2027E</x:v>
      </x:c>
      <x:c r="B83" s="240" t="str">
        <x:v>FAU棱镜透镜阵列</x:v>
      </x:c>
      <x:c r="C83" s="251" t="n">
        <x:f>$D$4*MAX(0,'机会输入'!$B$36)</x:f>
        <x:v>400</x:v>
      </x:c>
      <x:c r="D83" s="251" t="n">
        <x:f>$C$5*$C$6</x:f>
        <x:v>36</x:v>
      </x:c>
      <x:c r="E83" s="251" t="n">
        <x:f>C83*10000*D83</x:f>
        <x:v>144000000</x:v>
      </x:c>
      <x:c r="F83" s="251" t="n">
        <x:f>('机会输入'!F23)*MAX(0,'机会输入'!$C$36)*'规格输入'!$E$7*MAX(0,'机会输入'!F5)</x:f>
        <x:v>10.240000000000002</x:v>
      </x:c>
      <x:c r="G83" s="250" t="n">
        <x:f>'机会输入'!F24</x:f>
        <x:v>0.45</x:v>
      </x:c>
      <x:c r="H83" s="251" t="n">
        <x:f>E83*F83/100000000</x:f>
        <x:v>14.745600000000003</x:v>
      </x:c>
      <x:c r="I83" s="251" t="n">
        <x:f>H83*G83</x:f>
        <x:v>6.635520000000001</x:v>
      </x:c>
      <x:c r="J83" s="250" t="n">
        <x:f>'机会输入'!D54</x:f>
        <x:v>0.7</x:v>
      </x:c>
      <x:c r="K83" s="251" t="n">
        <x:f>I83*J83</x:f>
        <x:v>4.644864000000001</x:v>
      </x:c>
      <x:c r="L83" s="251" t="n">
        <x:f>K83*'机会输入'!F4</x:f>
        <x:v>1.5328051200000004</x:v>
      </x:c>
      <x:c r="M83" s="245"/>
    </x:row>
    <x:row r="84">
      <x:c r="A84" s="240" t="str">
        <x:v>2027E</x:v>
      </x:c>
      <x:c r="B84" s="240" t="str">
        <x:v>ELS透镜＋热沉</x:v>
      </x:c>
      <x:c r="C84" s="251" t="n">
        <x:f>$D$4*MAX(0,'机会输入'!$B$36)</x:f>
        <x:v>400</x:v>
      </x:c>
      <x:c r="D84" s="251" t="n">
        <x:f>$C$8/$C$7</x:f>
        <x:v>4</x:v>
      </x:c>
      <x:c r="E84" s="251" t="n">
        <x:f>C84*10000*D84</x:f>
        <x:v>16000000</x:v>
      </x:c>
      <x:c r="F84" s="251" t="n">
        <x:f>('机会输入'!F26+'机会输入'!F27)*MAX(0,'机会输入'!$C$36)*'规格输入'!$E$7*MAX(0,'机会输入'!F5)</x:f>
        <x:v>51.2</x:v>
      </x:c>
      <x:c r="G84" s="250" t="n">
        <x:f>MAX(0,MIN(1,'机会输入'!F28*MAX(0,'机会输入'!$E$36)))</x:f>
        <x:v>0.45</x:v>
      </x:c>
      <x:c r="H84" s="251" t="n">
        <x:f>E84*F84/100000000</x:f>
        <x:v>8.192</x:v>
      </x:c>
      <x:c r="I84" s="251" t="n">
        <x:f>H84*G84</x:f>
        <x:v>3.6864000000000003</x:v>
      </x:c>
      <x:c r="J84" s="250" t="n">
        <x:f>'机会输入'!D55</x:f>
        <x:v>0.7</x:v>
      </x:c>
      <x:c r="K84" s="251" t="n">
        <x:f>I84*J84</x:f>
        <x:v>2.58048</x:v>
      </x:c>
      <x:c r="L84" s="251" t="n">
        <x:f>K84*'机会输入'!F4</x:f>
        <x:v>0.8515584</x:v>
      </x:c>
      <x:c r="M84" s="245"/>
    </x:row>
    <x:row r="85">
      <x:c r="A85" s="240" t="str">
        <x:v>2027E</x:v>
      </x:c>
      <x:c r="B85" s="240" t="str">
        <x:v>FAU关键尺寸量测设备</x:v>
      </x:c>
      <x:c r="C85" s="251" t="n">
        <x:f>$D$4*MAX(0,'机会输入'!$B$36)</x:f>
        <x:v>400</x:v>
      </x:c>
      <x:c r="D85" s="251" t="n">
        <x:f>$C$5/'规格输入'!$E$10</x:f>
        <x:v>0.001</x:v>
      </x:c>
      <x:c r="E85" s="251" t="n">
        <x:f>C85*10000*D85</x:f>
        <x:v>4000</x:v>
      </x:c>
      <x:c r="F85" s="251" t="n">
        <x:f>('机会输入'!F30)*MAX(0,'机会输入'!$C$36)*'规格输入'!$E$7</x:f>
        <x:v>64000</x:v>
      </x:c>
      <x:c r="G85" s="250" t="n">
        <x:f>MAX(0,MIN(1,'机会输入'!F31*MAX(0,'机会输入'!$E$36)))</x:f>
        <x:v>0.3</x:v>
      </x:c>
      <x:c r="H85" s="251" t="n">
        <x:f>E85*F85/100000000</x:f>
        <x:v>2.56</x:v>
      </x:c>
      <x:c r="I85" s="251" t="n">
        <x:f>H85*G85</x:f>
        <x:v>0.768</x:v>
      </x:c>
      <x:c r="J85" s="250" t="n">
        <x:f>'机会输入'!D56</x:f>
        <x:v>0.5</x:v>
      </x:c>
      <x:c r="K85" s="251" t="n">
        <x:f>I85*J85</x:f>
        <x:v>0.384</x:v>
      </x:c>
      <x:c r="L85" s="251" t="n">
        <x:f>K85*'机会输入'!F4</x:f>
        <x:v>0.12672</x:v>
      </x:c>
      <x:c r="M85" s="245"/>
    </x:row>
    <x:row r="86">
      <x:c r="A86" s="197" t="str">
        <x:v>2027E</x:v>
      </x:c>
      <x:c r="B86" s="197" t="str">
        <x:v>独立参考合计</x:v>
      </x:c>
      <x:c r="C86" s="214"/>
      <x:c r="D86" s="214"/>
      <x:c r="E86" s="214"/>
      <x:c r="F86" s="214"/>
      <x:c r="G86" s="222"/>
      <x:c r="H86" s="214" t="n">
        <x:f>SUM(H79:H85)</x:f>
        <x:v>104.82512</x:v>
      </x:c>
      <x:c r="I86" s="214" t="n">
        <x:f>SUM(I79:I85)</x:f>
        <x:v>31.49716</x:v>
      </x:c>
      <x:c r="J86" s="222"/>
      <x:c r="K86" s="214" t="n">
        <x:f>SUM(K79:K85)</x:f>
        <x:v>23.944244000000005</x:v>
      </x:c>
      <x:c r="L86" s="214" t="n">
        <x:f>SUM(L79:L85)</x:f>
        <x:v>7.9016005200000015</x:v>
      </x:c>
      <x:c r="M86" s="245"/>
    </x:row>
    <x:row r="87">
      <x:c r="A87" s="240" t="str">
        <x:v>2028E</x:v>
      </x:c>
      <x:c r="B87" s="240" t="str">
        <x:v>800G可插拔透镜</x:v>
      </x:c>
      <x:c r="C87" s="251" t="n">
        <x:f>SUM('规格明细'!D95)</x:f>
        <x:v>5000</x:v>
      </x:c>
      <x:c r="D87" s="251" t="n">
        <x:f>IF(C87=0,0,SUM('规格明细'!G95)/C87/10000)</x:f>
        <x:v>10</x:v>
      </x:c>
      <x:c r="E87" s="251" t="n">
        <x:f>SUM('规格明细'!G95)</x:f>
        <x:v>500000000</x:v>
      </x:c>
      <x:c r="F87" s="251" t="n">
        <x:f>IF(E87=0,0,SUM('规格明细'!K95)*100000000/E87)</x:f>
        <x:v>3.24</x:v>
      </x:c>
      <x:c r="G87" s="250" t="n">
        <x:f>IF(H87=0,0,SUM('规格明细'!L95)/H87)</x:f>
        <x:v>0.1</x:v>
      </x:c>
      <x:c r="H87" s="251" t="n">
        <x:f>SUM('规格明细'!K95)</x:f>
        <x:v>16.2</x:v>
      </x:c>
      <x:c r="I87" s="251" t="n">
        <x:f>SUM('规格明细'!L95)</x:f>
        <x:v>1.62</x:v>
      </x:c>
      <x:c r="J87" s="250" t="n">
        <x:f>'机会输入'!E50</x:f>
        <x:v>0.9</x:v>
      </x:c>
      <x:c r="K87" s="251" t="n">
        <x:f>I87*J87</x:f>
        <x:v>1.4580000000000002</x:v>
      </x:c>
      <x:c r="L87" s="251" t="n">
        <x:f>K87*'机会输入'!G4</x:f>
        <x:v>0.48114000000000007</x:v>
      </x:c>
      <x:c r="M87" s="245"/>
    </x:row>
    <x:row r="88">
      <x:c r="A88" s="240" t="str">
        <x:v>2028E</x:v>
      </x:c>
      <x:c r="B88" s="240" t="str">
        <x:v>1.6T可插拔透镜</x:v>
      </x:c>
      <x:c r="C88" s="251" t="n">
        <x:f>SUM('规格明细'!D96)</x:f>
        <x:v>10500</x:v>
      </x:c>
      <x:c r="D88" s="251" t="n">
        <x:f>IF(C88=0,0,SUM('规格明细'!G96)/C88/10000)</x:f>
        <x:v>10</x:v>
      </x:c>
      <x:c r="E88" s="251" t="n">
        <x:f>SUM('规格明细'!G96)</x:f>
        <x:v>1050000000</x:v>
      </x:c>
      <x:c r="F88" s="251" t="n">
        <x:f>IF(E88=0,0,SUM('规格明细'!K96)*100000000/E88)</x:f>
        <x:v>4.536</x:v>
      </x:c>
      <x:c r="G88" s="250" t="n">
        <x:f>IF(H88=0,0,SUM('规格明细'!L96)/H88)</x:f>
        <x:v>0.1</x:v>
      </x:c>
      <x:c r="H88" s="251" t="n">
        <x:f>SUM('规格明细'!K96)</x:f>
        <x:v>47.628</x:v>
      </x:c>
      <x:c r="I88" s="251" t="n">
        <x:f>SUM('规格明细'!L96)</x:f>
        <x:v>4.7628</x:v>
      </x:c>
      <x:c r="J88" s="250" t="n">
        <x:f>'机会输入'!E51</x:f>
        <x:v>0.9</x:v>
      </x:c>
      <x:c r="K88" s="251" t="n">
        <x:f>I88*J88</x:f>
        <x:v>4.28652</x:v>
      </x:c>
      <x:c r="L88" s="251" t="n">
        <x:f>K88*'机会输入'!G4</x:f>
        <x:v>1.4145516000000002</x:v>
      </x:c>
      <x:c r="M88" s="245"/>
    </x:row>
    <x:row r="89">
      <x:c r="A89" s="240" t="str">
        <x:v>2028E</x:v>
      </x:c>
      <x:c r="B89" s="240" t="str">
        <x:v>OCS NxN透镜阵列</x:v>
      </x:c>
      <x:c r="C89" s="251" t="n">
        <x:f>SUM('规格明细'!D97,'规格明细'!D98)</x:f>
        <x:v>20</x:v>
      </x:c>
      <x:c r="D89" s="251" t="n">
        <x:f>IF(C89=0,0,SUM('规格明细'!G97,'规格明细'!G98)/C89/10000)</x:f>
        <x:v>467.2</x:v>
      </x:c>
      <x:c r="E89" s="251" t="n">
        <x:f>SUM('规格明细'!G97,'规格明细'!G98)</x:f>
        <x:v>93440000</x:v>
      </x:c>
      <x:c r="F89" s="251" t="n">
        <x:f>IF(E89=0,0,SUM('规格明细'!K97,'规格明细'!K98)*100000000/E89)</x:f>
        <x:v>25.24931506849315</x:v>
      </x:c>
      <x:c r="G89" s="250" t="n">
        <x:f>IF(H89=0,0,SUM('规格明细'!L97,'规格明细'!L98)/H89)</x:f>
        <x:v>0.8429687500000002</x:v>
      </x:c>
      <x:c r="H89" s="251" t="n">
        <x:f>SUM('规格明细'!K97,'规格明细'!K98)</x:f>
        <x:v>23.592959999999998</x:v>
      </x:c>
      <x:c r="I89" s="251" t="n">
        <x:f>SUM('规格明细'!L97,'规格明细'!L98)</x:f>
        <x:v>19.888128000000002</x:v>
      </x:c>
      <x:c r="J89" s="250" t="n">
        <x:f>'机会输入'!E52</x:f>
        <x:v>0.8</x:v>
      </x:c>
      <x:c r="K89" s="251" t="n">
        <x:f>I89*J89</x:f>
        <x:v>15.910502400000002</x:v>
      </x:c>
      <x:c r="L89" s="251" t="n">
        <x:f>K89*'机会输入'!G4</x:f>
        <x:v>5.250465792000001</x:v>
      </x:c>
      <x:c r="M89" s="245"/>
    </x:row>
    <x:row r="90">
      <x:c r="A90" s="240" t="str">
        <x:v>2028E</x:v>
      </x:c>
      <x:c r="B90" s="240" t="str">
        <x:v>FAU V型槽</x:v>
      </x:c>
      <x:c r="C90" s="251" t="n">
        <x:f>$E$4*MAX(0,'机会输入'!$B$36)</x:f>
        <x:v>1194</x:v>
      </x:c>
      <x:c r="D90" s="251" t="n">
        <x:f>$C$5*$C$6</x:f>
        <x:v>36</x:v>
      </x:c>
      <x:c r="E90" s="251" t="n">
        <x:f>C90*10000*D90</x:f>
        <x:v>429840000</x:v>
      </x:c>
      <x:c r="F90" s="251" t="n">
        <x:f>('机会输入'!G19)*MAX(0,'机会输入'!$C$36)*'规格输入'!$E$7*MAX(0,'机会输入'!G5)</x:f>
        <x:v>6.451199999999999</x:v>
      </x:c>
      <x:c r="G90" s="250" t="n">
        <x:f>MAX(0,MIN(1,'机会输入'!G20*MAX(0,'机会输入'!$F$36)))</x:f>
        <x:v>0.55</x:v>
      </x:c>
      <x:c r="H90" s="251" t="n">
        <x:f>E90*F90/100000000</x:f>
        <x:v>27.729838079999997</x:v>
      </x:c>
      <x:c r="I90" s="251" t="n">
        <x:f>H90*G90</x:f>
        <x:v>15.251410944</x:v>
      </x:c>
      <x:c r="J90" s="250" t="n">
        <x:f>'机会输入'!E53</x:f>
        <x:v>0.8</x:v>
      </x:c>
      <x:c r="K90" s="251" t="n">
        <x:f>I90*J90</x:f>
        <x:v>12.201128755200001</x:v>
      </x:c>
      <x:c r="L90" s="251" t="n">
        <x:f>K90*'机会输入'!G4</x:f>
        <x:v>4.026372489216</x:v>
      </x:c>
      <x:c r="M90" s="245"/>
    </x:row>
    <x:row r="91">
      <x:c r="A91" s="240" t="str">
        <x:v>2028E</x:v>
      </x:c>
      <x:c r="B91" s="240" t="str">
        <x:v>FAU棱镜透镜阵列</x:v>
      </x:c>
      <x:c r="C91" s="251" t="n">
        <x:f>$E$4*MAX(0,'机会输入'!$B$36)</x:f>
        <x:v>1194</x:v>
      </x:c>
      <x:c r="D91" s="251" t="n">
        <x:f>$C$5*$C$6</x:f>
        <x:v>36</x:v>
      </x:c>
      <x:c r="E91" s="251" t="n">
        <x:f>C91*10000*D91</x:f>
        <x:v>429840000</x:v>
      </x:c>
      <x:c r="F91" s="251" t="n">
        <x:f>('机会输入'!G23)*MAX(0,'机会输入'!$C$36)*'规格输入'!$E$7*MAX(0,'机会输入'!G5)</x:f>
        <x:v>9.216</x:v>
      </x:c>
      <x:c r="G91" s="250" t="n">
        <x:f>'机会输入'!G24</x:f>
        <x:v>0.45</x:v>
      </x:c>
      <x:c r="H91" s="251" t="n">
        <x:f>E91*F91/100000000</x:f>
        <x:v>39.61405439999999</x:v>
      </x:c>
      <x:c r="I91" s="251" t="n">
        <x:f>H91*G91</x:f>
        <x:v>17.826324479999997</x:v>
      </x:c>
      <x:c r="J91" s="250" t="n">
        <x:f>'机会输入'!E54</x:f>
        <x:v>0.8</x:v>
      </x:c>
      <x:c r="K91" s="251" t="n">
        <x:f>I91*J91</x:f>
        <x:v>14.261059583999998</x:v>
      </x:c>
      <x:c r="L91" s="251" t="n">
        <x:f>K91*'机会输入'!G4</x:f>
        <x:v>4.70614966272</x:v>
      </x:c>
      <x:c r="M91" s="245"/>
    </x:row>
    <x:row r="92">
      <x:c r="A92" s="240" t="str">
        <x:v>2028E</x:v>
      </x:c>
      <x:c r="B92" s="240" t="str">
        <x:v>ELS透镜＋热沉</x:v>
      </x:c>
      <x:c r="C92" s="251" t="n">
        <x:f>$E$4*MAX(0,'机会输入'!$B$36)</x:f>
        <x:v>1194</x:v>
      </x:c>
      <x:c r="D92" s="251" t="n">
        <x:f>$C$8/$C$7</x:f>
        <x:v>4</x:v>
      </x:c>
      <x:c r="E92" s="251" t="n">
        <x:f>C92*10000*D92</x:f>
        <x:v>47760000</x:v>
      </x:c>
      <x:c r="F92" s="251" t="n">
        <x:f>('机会输入'!G26+'机会输入'!G27)*MAX(0,'机会输入'!$C$36)*'规格输入'!$E$7*MAX(0,'机会输入'!G5)</x:f>
        <x:v>46.08</x:v>
      </x:c>
      <x:c r="G92" s="250" t="n">
        <x:f>MAX(0,MIN(1,'机会输入'!G28*MAX(0,'机会输入'!$F$36)))</x:f>
        <x:v>0.43333333333333335</x:v>
      </x:c>
      <x:c r="H92" s="251" t="n">
        <x:f>E92*F92/100000000</x:f>
        <x:v>22.007808</x:v>
      </x:c>
      <x:c r="I92" s="251" t="n">
        <x:f>H92*G92</x:f>
        <x:v>9.5367168</x:v>
      </x:c>
      <x:c r="J92" s="250" t="n">
        <x:f>'机会输入'!E55</x:f>
        <x:v>0.8</x:v>
      </x:c>
      <x:c r="K92" s="251" t="n">
        <x:f>I92*J92</x:f>
        <x:v>7.629373440000001</x:v>
      </x:c>
      <x:c r="L92" s="251" t="n">
        <x:f>K92*'机会输入'!G4</x:f>
        <x:v>2.5176932352000003</x:v>
      </x:c>
      <x:c r="M92" s="245"/>
    </x:row>
    <x:row r="93">
      <x:c r="A93" s="240" t="str">
        <x:v>2028E</x:v>
      </x:c>
      <x:c r="B93" s="240" t="str">
        <x:v>FAU关键尺寸量测设备</x:v>
      </x:c>
      <x:c r="C93" s="251" t="n">
        <x:f>$E$4*MAX(0,'机会输入'!$B$36)</x:f>
        <x:v>1194</x:v>
      </x:c>
      <x:c r="D93" s="251" t="n">
        <x:f>$C$5/'规格输入'!$E$10</x:f>
        <x:v>0.001</x:v>
      </x:c>
      <x:c r="E93" s="251" t="n">
        <x:f>C93*10000*D93</x:f>
        <x:v>11940</x:v>
      </x:c>
      <x:c r="F93" s="251" t="n">
        <x:f>('机会输入'!G30)*MAX(0,'机会输入'!$C$36)*'规格输入'!$E$7</x:f>
        <x:v>64000</x:v>
      </x:c>
      <x:c r="G93" s="250" t="n">
        <x:f>MAX(0,MIN(1,'机会输入'!G31*MAX(0,'机会输入'!$F$36)))</x:f>
        <x:v>0.45</x:v>
      </x:c>
      <x:c r="H93" s="251" t="n">
        <x:f>E93*F93/100000000</x:f>
        <x:v>7.6416</x:v>
      </x:c>
      <x:c r="I93" s="251" t="n">
        <x:f>H93*G93</x:f>
        <x:v>3.4387200000000004</x:v>
      </x:c>
      <x:c r="J93" s="250" t="n">
        <x:f>'机会输入'!E56</x:f>
        <x:v>0.7</x:v>
      </x:c>
      <x:c r="K93" s="251" t="n">
        <x:f>I93*J93</x:f>
        <x:v>2.4071040000000004</x:v>
      </x:c>
      <x:c r="L93" s="251" t="n">
        <x:f>K93*'机会输入'!G4</x:f>
        <x:v>0.7943443200000001</x:v>
      </x:c>
      <x:c r="M93" s="245"/>
    </x:row>
    <x:row r="94">
      <x:c r="A94" s="197" t="str">
        <x:v>2028E</x:v>
      </x:c>
      <x:c r="B94" s="197" t="str">
        <x:v>独立参考合计</x:v>
      </x:c>
      <x:c r="C94" s="214"/>
      <x:c r="D94" s="214"/>
      <x:c r="E94" s="214"/>
      <x:c r="F94" s="214"/>
      <x:c r="G94" s="222"/>
      <x:c r="H94" s="214" t="n">
        <x:f>SUM(H87:H93)</x:f>
        <x:v>184.41426048000002</x:v>
      </x:c>
      <x:c r="I94" s="214" t="n">
        <x:f>SUM(I87:I93)</x:f>
        <x:v>72.32410022399999</x:v>
      </x:c>
      <x:c r="J94" s="222"/>
      <x:c r="K94" s="214" t="n">
        <x:f>SUM(K87:K93)</x:f>
        <x:v>58.1536881792</x:v>
      </x:c>
      <x:c r="L94" s="214" t="n">
        <x:f>SUM(L87:L93)</x:f>
        <x:v>19.190717099136002</x:v>
      </x:c>
      <x:c r="M94" s="245"/>
    </x:row>
    <x:row r="95">
      <x:c r="A95" s="240" t="str">
        <x:v>2029E</x:v>
      </x:c>
      <x:c r="B95" s="240" t="str">
        <x:v>800G可插拔透镜</x:v>
      </x:c>
      <x:c r="C95" s="251" t="n">
        <x:f>SUM('规格明细'!D107)</x:f>
        <x:v>3200</x:v>
      </x:c>
      <x:c r="D95" s="251" t="n">
        <x:f>IF(C95=0,0,SUM('规格明细'!G107)/C95/10000)</x:f>
        <x:v>10</x:v>
      </x:c>
      <x:c r="E95" s="251" t="n">
        <x:f>SUM('规格明细'!G107)</x:f>
        <x:v>320000000</x:v>
      </x:c>
      <x:c r="F95" s="251" t="n">
        <x:f>IF(E95=0,0,SUM('规格明细'!K107)*100000000/E95)</x:f>
        <x:v>2.9160000000000004</x:v>
      </x:c>
      <x:c r="G95" s="250" t="n">
        <x:f>IF(H95=0,0,SUM('规格明细'!L107)/H95)</x:f>
        <x:v>0.1</x:v>
      </x:c>
      <x:c r="H95" s="251" t="n">
        <x:f>SUM('规格明细'!K107)</x:f>
        <x:v>9.3312</x:v>
      </x:c>
      <x:c r="I95" s="251" t="n">
        <x:f>SUM('规格明细'!L107)</x:f>
        <x:v>0.9331200000000002</x:v>
      </x:c>
      <x:c r="J95" s="250" t="n">
        <x:f>'机会输入'!F50</x:f>
        <x:v>0.9</x:v>
      </x:c>
      <x:c r="K95" s="251" t="n">
        <x:f>I95*J95</x:f>
        <x:v>0.8398080000000002</x:v>
      </x:c>
      <x:c r="L95" s="251" t="n">
        <x:f>K95*'机会输入'!H4</x:f>
        <x:v>0.2771366400000001</x:v>
      </x:c>
      <x:c r="M95" s="245"/>
    </x:row>
    <x:row r="96">
      <x:c r="A96" s="240" t="str">
        <x:v>2029E</x:v>
      </x:c>
      <x:c r="B96" s="240" t="str">
        <x:v>1.6T可插拔透镜</x:v>
      </x:c>
      <x:c r="C96" s="251" t="n">
        <x:f>SUM('规格明细'!D108)</x:f>
        <x:v>14500</x:v>
      </x:c>
      <x:c r="D96" s="251" t="n">
        <x:f>IF(C96=0,0,SUM('规格明细'!G108)/C96/10000)</x:f>
        <x:v>10</x:v>
      </x:c>
      <x:c r="E96" s="251" t="n">
        <x:f>SUM('规格明细'!G108)</x:f>
        <x:v>1450000000</x:v>
      </x:c>
      <x:c r="F96" s="251" t="n">
        <x:f>IF(E96=0,0,SUM('规格明细'!K108)*100000000/E96)</x:f>
        <x:v>4.0824</x:v>
      </x:c>
      <x:c r="G96" s="250" t="n">
        <x:f>IF(H96=0,0,SUM('规格明细'!L108)/H96)</x:f>
        <x:v>0.1</x:v>
      </x:c>
      <x:c r="H96" s="251" t="n">
        <x:f>SUM('规格明细'!K108)</x:f>
        <x:v>59.1948</x:v>
      </x:c>
      <x:c r="I96" s="251" t="n">
        <x:f>SUM('规格明细'!L108)</x:f>
        <x:v>5.91948</x:v>
      </x:c>
      <x:c r="J96" s="250" t="n">
        <x:f>'机会输入'!F51</x:f>
        <x:v>0.9</x:v>
      </x:c>
      <x:c r="K96" s="251" t="n">
        <x:f>I96*J96</x:f>
        <x:v>5.327532000000001</x:v>
      </x:c>
      <x:c r="L96" s="251" t="n">
        <x:f>K96*'机会输入'!H4</x:f>
        <x:v>1.7580855600000003</x:v>
      </x:c>
      <x:c r="M96" s="245"/>
    </x:row>
    <x:row r="97">
      <x:c r="A97" s="240" t="str">
        <x:v>2029E</x:v>
      </x:c>
      <x:c r="B97" s="240" t="str">
        <x:v>OCS NxN透镜阵列</x:v>
      </x:c>
      <x:c r="C97" s="251" t="n">
        <x:f>SUM('规格明细'!D109,'规格明细'!D110)</x:f>
        <x:v>32</x:v>
      </x:c>
      <x:c r="D97" s="251" t="n">
        <x:f>IF(C97=0,0,SUM('规格明细'!G109,'规格明细'!G110)/C97/10000)</x:f>
        <x:v>505.6</x:v>
      </x:c>
      <x:c r="E97" s="251" t="n">
        <x:f>SUM('规格明细'!G109,'规格明细'!G110)</x:f>
        <x:v>161792000</x:v>
      </x:c>
      <x:c r="F97" s="251" t="n">
        <x:f>IF(E97=0,0,SUM('规格明细'!K109,'规格明细'!K110)*100000000/E97)</x:f>
        <x:v>23.623291139240507</x:v>
      </x:c>
      <x:c r="G97" s="250" t="n">
        <x:f>IF(H97=0,0,SUM('规格明细'!L109,'规格明细'!L110)/H97)</x:f>
        <x:v>0.7451388888888888</x:v>
      </x:c>
      <x:c r="H97" s="251" t="n">
        <x:f>SUM('规格明细'!K109,'规格明细'!K110)</x:f>
        <x:v>38.2205952</x:v>
      </x:c>
      <x:c r="I97" s="251" t="n">
        <x:f>SUM('规格明细'!L109,'规格明细'!L110)</x:f>
        <x:v>28.479651839999995</x:v>
      </x:c>
      <x:c r="J97" s="250" t="n">
        <x:f>'机会输入'!F52</x:f>
        <x:v>0.8</x:v>
      </x:c>
      <x:c r="K97" s="251" t="n">
        <x:f>I97*J97</x:f>
        <x:v>22.783721471999996</x:v>
      </x:c>
      <x:c r="L97" s="251" t="n">
        <x:f>K97*'机会输入'!H4</x:f>
        <x:v>7.518628085759999</x:v>
      </x:c>
      <x:c r="M97" s="245"/>
    </x:row>
    <x:row r="98">
      <x:c r="A98" s="240" t="str">
        <x:v>2029E</x:v>
      </x:c>
      <x:c r="B98" s="240" t="str">
        <x:v>FAU V型槽</x:v>
      </x:c>
      <x:c r="C98" s="251" t="n">
        <x:f>$F$4*MAX(0,'机会输入'!$B$36)</x:f>
        <x:v>3818</x:v>
      </x:c>
      <x:c r="D98" s="251" t="n">
        <x:f>$C$5*$C$6</x:f>
        <x:v>36</x:v>
      </x:c>
      <x:c r="E98" s="251" t="n">
        <x:f>C98*10000*D98</x:f>
        <x:v>1374480000</x:v>
      </x:c>
      <x:c r="F98" s="251" t="n">
        <x:f>('机会输入'!H19)*MAX(0,'机会输入'!$C$36)*'规格输入'!$E$7*MAX(0,'机会输入'!H5)</x:f>
        <x:v>5.80608</x:v>
      </x:c>
      <x:c r="G98" s="250" t="n">
        <x:f>MAX(0,MIN(1,'机会输入'!H20*MAX(0,'机会输入'!$G$36)))</x:f>
        <x:v>0.6</x:v>
      </x:c>
      <x:c r="H98" s="251" t="n">
        <x:f>E98*F98/100000000</x:f>
        <x:v>79.803408384</x:v>
      </x:c>
      <x:c r="I98" s="251" t="n">
        <x:f>H98*G98</x:f>
        <x:v>47.88204503039999</x:v>
      </x:c>
      <x:c r="J98" s="250" t="n">
        <x:f>'机会输入'!F53</x:f>
        <x:v>0.8</x:v>
      </x:c>
      <x:c r="K98" s="251" t="n">
        <x:f>I98*J98</x:f>
        <x:v>38.305636024319995</x:v>
      </x:c>
      <x:c r="L98" s="251" t="n">
        <x:f>K98*'机会输入'!H4</x:f>
        <x:v>12.640859888025599</x:v>
      </x:c>
      <x:c r="M98" s="245"/>
    </x:row>
    <x:row r="99">
      <x:c r="A99" s="240" t="str">
        <x:v>2029E</x:v>
      </x:c>
      <x:c r="B99" s="240" t="str">
        <x:v>FAU棱镜透镜阵列</x:v>
      </x:c>
      <x:c r="C99" s="251" t="n">
        <x:f>$F$4*MAX(0,'机会输入'!$B$36)</x:f>
        <x:v>3818</x:v>
      </x:c>
      <x:c r="D99" s="251" t="n">
        <x:f>$C$5*$C$6</x:f>
        <x:v>36</x:v>
      </x:c>
      <x:c r="E99" s="251" t="n">
        <x:f>C99*10000*D99</x:f>
        <x:v>1374480000</x:v>
      </x:c>
      <x:c r="F99" s="251" t="n">
        <x:f>('机会输入'!H23)*MAX(0,'机会输入'!$C$36)*'规格输入'!$E$7*MAX(0,'机会输入'!H5)</x:f>
        <x:v>8.294400000000001</x:v>
      </x:c>
      <x:c r="G99" s="250" t="n">
        <x:f>'机会输入'!H24</x:f>
        <x:v>0.45</x:v>
      </x:c>
      <x:c r="H99" s="251" t="n">
        <x:f>E99*F99/100000000</x:f>
        <x:v>114.00486912000002</x:v>
      </x:c>
      <x:c r="I99" s="251" t="n">
        <x:f>H99*G99</x:f>
        <x:v>51.30219110400001</x:v>
      </x:c>
      <x:c r="J99" s="250" t="n">
        <x:f>'机会输入'!F54</x:f>
        <x:v>0.8</x:v>
      </x:c>
      <x:c r="K99" s="251" t="n">
        <x:f>I99*J99</x:f>
        <x:v>41.04175288320001</x:v>
      </x:c>
      <x:c r="L99" s="251" t="n">
        <x:f>K99*'机会输入'!H4</x:f>
        <x:v>13.543778451456005</x:v>
      </x:c>
      <x:c r="M99" s="245"/>
    </x:row>
    <x:row r="100">
      <x:c r="A100" s="240" t="str">
        <x:v>2029E</x:v>
      </x:c>
      <x:c r="B100" s="240" t="str">
        <x:v>ELS透镜＋热沉</x:v>
      </x:c>
      <x:c r="C100" s="251" t="n">
        <x:f>$F$4*MAX(0,'机会输入'!$B$36)</x:f>
        <x:v>3818</x:v>
      </x:c>
      <x:c r="D100" s="251" t="n">
        <x:f>$C$8/$C$7</x:f>
        <x:v>4</x:v>
      </x:c>
      <x:c r="E100" s="251" t="n">
        <x:f>C100*10000*D100</x:f>
        <x:v>152720000</x:v>
      </x:c>
      <x:c r="F100" s="251" t="n">
        <x:f>('机会输入'!H26+'机会输入'!H27)*MAX(0,'机会输入'!$C$36)*'规格输入'!$E$7*MAX(0,'机会输入'!H5)</x:f>
        <x:v>41.472</x:v>
      </x:c>
      <x:c r="G100" s="250" t="n">
        <x:f>MAX(0,MIN(1,'机会输入'!H28*MAX(0,'机会输入'!$G$36)))</x:f>
        <x:v>0.4166666666666667</x:v>
      </x:c>
      <x:c r="H100" s="251" t="n">
        <x:f>E100*F100/100000000</x:f>
        <x:v>63.3360384</x:v>
      </x:c>
      <x:c r="I100" s="251" t="n">
        <x:f>H100*G100</x:f>
        <x:v>26.390016</x:v>
      </x:c>
      <x:c r="J100" s="250" t="n">
        <x:f>'机会输入'!F55</x:f>
        <x:v>0.8</x:v>
      </x:c>
      <x:c r="K100" s="251" t="n">
        <x:f>I100*J100</x:f>
        <x:v>21.112012800000002</x:v>
      </x:c>
      <x:c r="L100" s="251" t="n">
        <x:f>K100*'机会输入'!H4</x:f>
        <x:v>6.966964224000001</x:v>
      </x:c>
      <x:c r="M100" s="245"/>
    </x:row>
    <x:row r="101">
      <x:c r="A101" s="240" t="str">
        <x:v>2029E</x:v>
      </x:c>
      <x:c r="B101" s="240" t="str">
        <x:v>FAU关键尺寸量测设备</x:v>
      </x:c>
      <x:c r="C101" s="251" t="n">
        <x:f>$F$4*MAX(0,'机会输入'!$B$36)</x:f>
        <x:v>3818</x:v>
      </x:c>
      <x:c r="D101" s="251" t="n">
        <x:f>$C$5/'规格输入'!$E$10</x:f>
        <x:v>0.001</x:v>
      </x:c>
      <x:c r="E101" s="251" t="n">
        <x:f>C101*10000*D101</x:f>
        <x:v>38180</x:v>
      </x:c>
      <x:c r="F101" s="251" t="n">
        <x:f>('机会输入'!H30)*MAX(0,'机会输入'!$C$36)*'规格输入'!$E$7</x:f>
        <x:v>64000</x:v>
      </x:c>
      <x:c r="G101" s="250" t="n">
        <x:f>MAX(0,MIN(1,'机会输入'!H31*MAX(0,'机会输入'!$G$36)))</x:f>
        <x:v>0.5</x:v>
      </x:c>
      <x:c r="H101" s="251" t="n">
        <x:f>E101*F101/100000000</x:f>
        <x:v>24.4352</x:v>
      </x:c>
      <x:c r="I101" s="251" t="n">
        <x:f>H101*G101</x:f>
        <x:v>12.2176</x:v>
      </x:c>
      <x:c r="J101" s="250" t="n">
        <x:f>'机会输入'!F56</x:f>
        <x:v>0.7</x:v>
      </x:c>
      <x:c r="K101" s="251" t="n">
        <x:f>I101*J101</x:f>
        <x:v>8.552319999999998</x:v>
      </x:c>
      <x:c r="L101" s="251" t="n">
        <x:f>K101*'机会输入'!H4</x:f>
        <x:v>2.8222655999999997</x:v>
      </x:c>
      <x:c r="M101" s="245"/>
    </x:row>
    <x:row r="102">
      <x:c r="A102" s="197" t="str">
        <x:v>2029E</x:v>
      </x:c>
      <x:c r="B102" s="197" t="str">
        <x:v>独立参考合计</x:v>
      </x:c>
      <x:c r="C102" s="214"/>
      <x:c r="D102" s="214"/>
      <x:c r="E102" s="214"/>
      <x:c r="F102" s="214"/>
      <x:c r="G102" s="222"/>
      <x:c r="H102" s="214" t="n">
        <x:f>SUM(H95:H101)</x:f>
        <x:v>388.326111104</x:v>
      </x:c>
      <x:c r="I102" s="214" t="n">
        <x:f>SUM(I95:I101)</x:f>
        <x:v>173.12410397440001</x:v>
      </x:c>
      <x:c r="J102" s="222"/>
      <x:c r="K102" s="214" t="n">
        <x:f>SUM(K95:K101)</x:f>
        <x:v>137.96278317952002</x:v>
      </x:c>
      <x:c r="L102" s="214" t="n">
        <x:f>SUM(L95:L101)</x:f>
        <x:v>45.527718449241604</x:v>
      </x:c>
      <x:c r="M102" s="245"/>
    </x:row>
    <x:row r="103">
      <x:c r="A103" s="240" t="str">
        <x:v>2030E</x:v>
      </x:c>
      <x:c r="B103" s="240" t="str">
        <x:v>800G可插拔透镜</x:v>
      </x:c>
      <x:c r="C103" s="251" t="n">
        <x:f>SUM('规格明细'!D119)</x:f>
        <x:v>1800</x:v>
      </x:c>
      <x:c r="D103" s="251" t="n">
        <x:f>IF(C103=0,0,SUM('规格明细'!G119)/C103/10000)</x:f>
        <x:v>10</x:v>
      </x:c>
      <x:c r="E103" s="251" t="n">
        <x:f>SUM('规格明细'!G119)</x:f>
        <x:v>180000000</x:v>
      </x:c>
      <x:c r="F103" s="251" t="n">
        <x:f>IF(E103=0,0,SUM('规格明细'!K119)*100000000/E103)</x:f>
        <x:v>2.6243999999999996</x:v>
      </x:c>
      <x:c r="G103" s="250" t="n">
        <x:f>IF(H103=0,0,SUM('规格明细'!L119)/H103)</x:f>
        <x:v>0.1</x:v>
      </x:c>
      <x:c r="H103" s="251" t="n">
        <x:f>SUM('规格明细'!K119)</x:f>
        <x:v>4.72392</x:v>
      </x:c>
      <x:c r="I103" s="251" t="n">
        <x:f>SUM('规格明细'!L119)</x:f>
        <x:v>0.472392</x:v>
      </x:c>
      <x:c r="J103" s="250" t="n">
        <x:f>'机会输入'!G50</x:f>
        <x:v>0.9</x:v>
      </x:c>
      <x:c r="K103" s="251" t="n">
        <x:f>I103*J103</x:f>
        <x:v>0.4251528</x:v>
      </x:c>
      <x:c r="L103" s="251" t="n">
        <x:f>K103*'机会输入'!I4</x:f>
        <x:v>0.140300424</x:v>
      </x:c>
      <x:c r="M103" s="245"/>
    </x:row>
    <x:row r="104">
      <x:c r="A104" s="240" t="str">
        <x:v>2030E</x:v>
      </x:c>
      <x:c r="B104" s="240" t="str">
        <x:v>1.6T可插拔透镜</x:v>
      </x:c>
      <x:c r="C104" s="251" t="n">
        <x:f>SUM('规格明细'!D120)</x:f>
        <x:v>16000</x:v>
      </x:c>
      <x:c r="D104" s="251" t="n">
        <x:f>IF(C104=0,0,SUM('规格明细'!G120)/C104/10000)</x:f>
        <x:v>10</x:v>
      </x:c>
      <x:c r="E104" s="251" t="n">
        <x:f>SUM('规格明细'!G120)</x:f>
        <x:v>1600000000</x:v>
      </x:c>
      <x:c r="F104" s="251" t="n">
        <x:f>IF(E104=0,0,SUM('规格明细'!K120)*100000000/E104)</x:f>
        <x:v>3.674159999999999</x:v>
      </x:c>
      <x:c r="G104" s="250" t="n">
        <x:f>IF(H104=0,0,SUM('规格明细'!L120)/H104)</x:f>
        <x:v>0.1</x:v>
      </x:c>
      <x:c r="H104" s="251" t="n">
        <x:f>SUM('规格明细'!K120)</x:f>
        <x:v>58.78655999999999</x:v>
      </x:c>
      <x:c r="I104" s="251" t="n">
        <x:f>SUM('规格明细'!L120)</x:f>
        <x:v>5.878655999999999</x:v>
      </x:c>
      <x:c r="J104" s="250" t="n">
        <x:f>'机会输入'!G51</x:f>
        <x:v>0.9</x:v>
      </x:c>
      <x:c r="K104" s="251" t="n">
        <x:f>I104*J104</x:f>
        <x:v>5.2907904</x:v>
      </x:c>
      <x:c r="L104" s="251" t="n">
        <x:f>K104*'机会输入'!I4</x:f>
        <x:v>1.745960832</x:v>
      </x:c>
      <x:c r="M104" s="245"/>
    </x:row>
    <x:row r="105">
      <x:c r="A105" s="240" t="str">
        <x:v>2030E</x:v>
      </x:c>
      <x:c r="B105" s="240" t="str">
        <x:v>OCS NxN透镜阵列</x:v>
      </x:c>
      <x:c r="C105" s="251" t="n">
        <x:f>SUM('规格明细'!D121,'规格明细'!D122)</x:f>
        <x:v>45</x:v>
      </x:c>
      <x:c r="D105" s="251" t="n">
        <x:f>IF(C105=0,0,SUM('规格明细'!G121,'规格明细'!G122)/C105/10000)</x:f>
        <x:v>544</x:v>
      </x:c>
      <x:c r="E105" s="251" t="n">
        <x:f>SUM('规格明细'!G121,'规格明细'!G122)</x:f>
        <x:v>244800000</x:v>
      </x:c>
      <x:c r="F105" s="251" t="n">
        <x:f>IF(E105=0,0,SUM('规格明细'!K121,'规格明细'!K122)*100000000/E105)</x:f>
        <x:v>21.955764705882356</x:v>
      </x:c>
      <x:c r="G105" s="250" t="n">
        <x:f>IF(H105=0,0,SUM('规格明细'!L121,'规格明细'!L122)/H105)</x:f>
        <x:v>0.6468750000000001</x:v>
      </x:c>
      <x:c r="H105" s="251" t="n">
        <x:f>SUM('规格明细'!K121,'规格明细'!K122)</x:f>
        <x:v>53.74771200000001</x:v>
      </x:c>
      <x:c r="I105" s="251" t="n">
        <x:f>SUM('规格明细'!L121,'规格明细'!L122)</x:f>
        <x:v>34.76805120000001</x:v>
      </x:c>
      <x:c r="J105" s="250" t="n">
        <x:f>'机会输入'!G52</x:f>
        <x:v>0.8</x:v>
      </x:c>
      <x:c r="K105" s="251" t="n">
        <x:f>I105*J105</x:f>
        <x:v>27.81444096000001</x:v>
      </x:c>
      <x:c r="L105" s="251" t="n">
        <x:f>K105*'机会输入'!I4</x:f>
        <x:v>9.178765516800004</x:v>
      </x:c>
      <x:c r="M105" s="245"/>
    </x:row>
    <x:row r="106">
      <x:c r="A106" s="240" t="str">
        <x:v>2030E</x:v>
      </x:c>
      <x:c r="B106" s="240" t="str">
        <x:v>FAU V型槽</x:v>
      </x:c>
      <x:c r="C106" s="251" t="n">
        <x:f>$G$4*MAX(0,'机会输入'!$B$36)</x:f>
        <x:v>8922</x:v>
      </x:c>
      <x:c r="D106" s="251" t="n">
        <x:f>$C$5*$C$6</x:f>
        <x:v>36</x:v>
      </x:c>
      <x:c r="E106" s="251" t="n">
        <x:f>C106*10000*D106</x:f>
        <x:v>3211920000</x:v>
      </x:c>
      <x:c r="F106" s="251" t="n">
        <x:f>('机会输入'!I19)*MAX(0,'机会输入'!$C$36)*'规格输入'!$E$7*MAX(0,'机会输入'!I5)</x:f>
        <x:v>5.225472</x:v>
      </x:c>
      <x:c r="G106" s="250" t="n">
        <x:f>MAX(0,MIN(1,'机会输入'!I20*MAX(0,'机会输入'!$H$36)))</x:f>
        <x:v>0.65</x:v>
      </x:c>
      <x:c r="H106" s="251" t="n">
        <x:f>E106*F106/100000000</x:f>
        <x:v>167.8379802624</x:v>
      </x:c>
      <x:c r="I106" s="251" t="n">
        <x:f>H106*G106</x:f>
        <x:v>109.09468717056001</x:v>
      </x:c>
      <x:c r="J106" s="250" t="n">
        <x:f>'机会输入'!G53</x:f>
        <x:v>0.8</x:v>
      </x:c>
      <x:c r="K106" s="251" t="n">
        <x:f>I106*J106</x:f>
        <x:v>87.275749736448</x:v>
      </x:c>
      <x:c r="L106" s="251" t="n">
        <x:f>K106*'机会输入'!I4</x:f>
        <x:v>28.800997413027844</x:v>
      </x:c>
      <x:c r="M106" s="245"/>
    </x:row>
    <x:row r="107">
      <x:c r="A107" s="240" t="str">
        <x:v>2030E</x:v>
      </x:c>
      <x:c r="B107" s="240" t="str">
        <x:v>FAU棱镜透镜阵列</x:v>
      </x:c>
      <x:c r="C107" s="251" t="n">
        <x:f>$G$4*MAX(0,'机会输入'!$B$36)</x:f>
        <x:v>8922</x:v>
      </x:c>
      <x:c r="D107" s="251" t="n">
        <x:f>$C$5*$C$6</x:f>
        <x:v>36</x:v>
      </x:c>
      <x:c r="E107" s="251" t="n">
        <x:f>C107*10000*D107</x:f>
        <x:v>3211920000</x:v>
      </x:c>
      <x:c r="F107" s="251" t="n">
        <x:f>('机会输入'!I23)*MAX(0,'机会输入'!$C$36)*'规格输入'!$E$7*MAX(0,'机会输入'!I5)</x:f>
        <x:v>7.464960000000001</x:v>
      </x:c>
      <x:c r="G107" s="250" t="n">
        <x:f>'机会输入'!I24</x:f>
        <x:v>0.45</x:v>
      </x:c>
      <x:c r="H107" s="251" t="n">
        <x:f>E107*F107/100000000</x:f>
        <x:v>239.76854323200004</x:v>
      </x:c>
      <x:c r="I107" s="251" t="n">
        <x:f>H107*G107</x:f>
        <x:v>107.89584445440002</x:v>
      </x:c>
      <x:c r="J107" s="250" t="n">
        <x:f>'机会输入'!G54</x:f>
        <x:v>0.8</x:v>
      </x:c>
      <x:c r="K107" s="251" t="n">
        <x:f>I107*J107</x:f>
        <x:v>86.31667556352002</x:v>
      </x:c>
      <x:c r="L107" s="251" t="n">
        <x:f>K107*'机会输入'!I4</x:f>
        <x:v>28.484502935961608</x:v>
      </x:c>
      <x:c r="M107" s="245"/>
    </x:row>
    <x:row r="108">
      <x:c r="A108" s="240" t="str">
        <x:v>2030E</x:v>
      </x:c>
      <x:c r="B108" s="240" t="str">
        <x:v>ELS透镜＋热沉</x:v>
      </x:c>
      <x:c r="C108" s="251" t="n">
        <x:f>$G$4*MAX(0,'机会输入'!$B$36)</x:f>
        <x:v>8922</x:v>
      </x:c>
      <x:c r="D108" s="251" t="n">
        <x:f>$C$8/$C$7</x:f>
        <x:v>4</x:v>
      </x:c>
      <x:c r="E108" s="251" t="n">
        <x:f>C108*10000*D108</x:f>
        <x:v>356880000</x:v>
      </x:c>
      <x:c r="F108" s="251" t="n">
        <x:f>('机会输入'!I26+'机会输入'!I27)*MAX(0,'机会输入'!$C$36)*'规格输入'!$E$7*MAX(0,'机会输入'!I5)</x:f>
        <x:v>37.3248</x:v>
      </x:c>
      <x:c r="G108" s="250" t="n">
        <x:f>MAX(0,MIN(1,'机会输入'!I28*MAX(0,'机会输入'!$H$36)))</x:f>
        <x:v>0.4</x:v>
      </x:c>
      <x:c r="H108" s="251" t="n">
        <x:f>E108*F108/100000000</x:f>
        <x:v>133.20474624000002</x:v>
      </x:c>
      <x:c r="I108" s="251" t="n">
        <x:f>H108*G108</x:f>
        <x:v>53.28189849600001</x:v>
      </x:c>
      <x:c r="J108" s="250" t="n">
        <x:f>'机会输入'!G55</x:f>
        <x:v>0.8</x:v>
      </x:c>
      <x:c r="K108" s="251" t="n">
        <x:f>I108*J108</x:f>
        <x:v>42.62551879680001</x:v>
      </x:c>
      <x:c r="L108" s="251" t="n">
        <x:f>K108*'机会输入'!I4</x:f>
        <x:v>14.066421202944003</x:v>
      </x:c>
      <x:c r="M108" s="245"/>
    </x:row>
    <x:row r="109">
      <x:c r="A109" s="240" t="str">
        <x:v>2030E</x:v>
      </x:c>
      <x:c r="B109" s="240" t="str">
        <x:v>FAU关键尺寸量测设备</x:v>
      </x:c>
      <x:c r="C109" s="251" t="n">
        <x:f>$G$4*MAX(0,'机会输入'!$B$36)</x:f>
        <x:v>8922</x:v>
      </x:c>
      <x:c r="D109" s="251" t="n">
        <x:f>$C$5/'规格输入'!$E$10</x:f>
        <x:v>0.001</x:v>
      </x:c>
      <x:c r="E109" s="251" t="n">
        <x:f>C109*10000*D109</x:f>
        <x:v>89220</x:v>
      </x:c>
      <x:c r="F109" s="251" t="n">
        <x:f>('机会输入'!I30)*MAX(0,'机会输入'!$C$36)*'规格输入'!$E$7</x:f>
        <x:v>64000</x:v>
      </x:c>
      <x:c r="G109" s="250" t="n">
        <x:f>MAX(0,MIN(1,'机会输入'!I31*MAX(0,'机会输入'!$H$36)))</x:f>
        <x:v>0.55</x:v>
      </x:c>
      <x:c r="H109" s="251" t="n">
        <x:f>E109*F109/100000000</x:f>
        <x:v>57.1008</x:v>
      </x:c>
      <x:c r="I109" s="251" t="n">
        <x:f>H109*G109</x:f>
        <x:v>31.405440000000002</x:v>
      </x:c>
      <x:c r="J109" s="250" t="n">
        <x:f>'机会输入'!G56</x:f>
        <x:v>0.7</x:v>
      </x:c>
      <x:c r="K109" s="251" t="n">
        <x:f>I109*J109</x:f>
        <x:v>21.983808</x:v>
      </x:c>
      <x:c r="L109" s="251" t="n">
        <x:f>K109*'机会输入'!I4</x:f>
        <x:v>7.25465664</x:v>
      </x:c>
      <x:c r="M109" s="245"/>
    </x:row>
    <x:row r="110">
      <x:c r="A110" s="197" t="str">
        <x:v>2030E</x:v>
      </x:c>
      <x:c r="B110" s="197" t="str">
        <x:v>独立参考合计</x:v>
      </x:c>
      <x:c r="C110" s="214"/>
      <x:c r="D110" s="214"/>
      <x:c r="E110" s="214"/>
      <x:c r="F110" s="214"/>
      <x:c r="G110" s="222"/>
      <x:c r="H110" s="214" t="n">
        <x:f>SUM(H103:H109)</x:f>
        <x:v>715.1702617344</x:v>
      </x:c>
      <x:c r="I110" s="214" t="n">
        <x:f>SUM(I103:I109)</x:f>
        <x:v>342.79696932096005</x:v>
      </x:c>
      <x:c r="J110" s="222"/>
      <x:c r="K110" s="214" t="n">
        <x:f>SUM(K103:K109)</x:f>
        <x:v>271.73213625676806</x:v>
      </x:c>
      <x:c r="L110" s="214" t="n">
        <x:f>SUM(L103:L109)</x:f>
        <x:v>89.67160496473346</x:v>
      </x:c>
      <x:c r="M110" s="245"/>
    </x:row>
    <x:row r="111">
      <x:c r="A111" s="245"/>
      <x:c r="B111" s="245"/>
      <x:c r="C111" s="245"/>
      <x:c r="D111" s="245"/>
      <x:c r="E111" s="245"/>
      <x:c r="F111" s="245"/>
      <x:c r="G111" s="245"/>
      <x:c r="H111" s="245"/>
      <x:c r="I111" s="245"/>
      <x:c r="J111" s="245"/>
      <x:c r="K111" s="245"/>
      <x:c r="L111" s="245"/>
      <x:c r="M111" s="245"/>
    </x:row>
    <x:row r="112">
      <x:c r="A112" s="245"/>
      <x:c r="B112" s="245"/>
      <x:c r="C112" s="245"/>
      <x:c r="D112" s="245"/>
      <x:c r="E112" s="245"/>
      <x:c r="F112" s="245"/>
      <x:c r="G112" s="245"/>
      <x:c r="H112" s="245"/>
      <x:c r="I112" s="245"/>
      <x:c r="J112" s="245"/>
      <x:c r="K112" s="245"/>
      <x:c r="L112" s="245"/>
      <x:c r="M112" s="245"/>
    </x:row>
    <x:row r="113">
      <x:c r="A113" s="245"/>
      <x:c r="B113" s="245"/>
      <x:c r="C113" s="245"/>
      <x:c r="D113" s="245"/>
      <x:c r="E113" s="245"/>
      <x:c r="F113" s="245"/>
      <x:c r="G113" s="245"/>
      <x:c r="H113" s="245"/>
      <x:c r="I113" s="245"/>
      <x:c r="J113" s="245"/>
      <x:c r="K113" s="245"/>
      <x:c r="L113" s="245"/>
      <x:c r="M113" s="245"/>
    </x:row>
    <x:row r="114">
      <x:c r="A114" s="176" t="str">
        <x:v>乐观情形：独立光引擎法</x:v>
      </x:c>
      <x:c r="B114" s="176"/>
      <x:c r="C114" s="176"/>
      <x:c r="D114" s="176"/>
      <x:c r="E114" s="176"/>
      <x:c r="F114" s="176"/>
      <x:c r="G114" s="176"/>
      <x:c r="H114" s="176"/>
      <x:c r="I114" s="176"/>
      <x:c r="J114" s="176"/>
      <x:c r="K114" s="176"/>
      <x:c r="L114" s="176"/>
      <x:c r="M114" s="245"/>
    </x:row>
    <x:row r="115">
      <x:c r="A115" s="176" t="str">
        <x:v>年度</x:v>
      </x:c>
      <x:c r="B115" s="176" t="str">
        <x:v>产品</x:v>
      </x:c>
      <x:c r="C115" s="176" t="str">
        <x:v>需求量（万）</x:v>
      </x:c>
      <x:c r="D115" s="176" t="str">
        <x:v>单位用量</x:v>
      </x:c>
      <x:c r="E115" s="176" t="str">
        <x:v>组件总量</x:v>
      </x:c>
      <x:c r="F115" s="176" t="str">
        <x:v>有效单价</x:v>
      </x:c>
      <x:c r="G115" s="176" t="str">
        <x:v>公司份额</x:v>
      </x:c>
      <x:c r="H115" s="176" t="str">
        <x:v>行业空间（亿元）</x:v>
      </x:c>
      <x:c r="I115" s="176" t="str">
        <x:v>理论收入（亿元）</x:v>
      </x:c>
      <x:c r="J115" s="176" t="str">
        <x:v>收入兑现率</x:v>
      </x:c>
      <x:c r="K115" s="176" t="str">
        <x:v>兑现收入（亿元）</x:v>
      </x:c>
      <x:c r="L115" s="176" t="str">
        <x:v>业务利润（亿元）</x:v>
      </x:c>
      <x:c r="M115" s="245"/>
    </x:row>
    <x:row r="116">
      <x:c r="A116" s="240" t="str">
        <x:v>2026E</x:v>
      </x:c>
      <x:c r="B116" s="240" t="str">
        <x:v>800G可插拔透镜</x:v>
      </x:c>
      <x:c r="C116" s="251" t="n">
        <x:f>SUM('规格明细'!D136)</x:f>
        <x:v>5600</x:v>
      </x:c>
      <x:c r="D116" s="251" t="n">
        <x:f>IF(C116=0,0,SUM('规格明细'!G136)/C116/10000)</x:f>
        <x:v>10</x:v>
      </x:c>
      <x:c r="E116" s="251" t="n">
        <x:f>SUM('规格明细'!G136)</x:f>
        <x:v>560000000</x:v>
      </x:c>
      <x:c r="F116" s="251" t="n">
        <x:f>IF(E116=0,0,SUM('规格明细'!K136)*100000000/E116)</x:f>
        <x:v>4.4</x:v>
      </x:c>
      <x:c r="G116" s="250" t="n">
        <x:f>IF(H116=0,0,SUM('规格明细'!L136)/H116)</x:f>
        <x:v>0.045</x:v>
      </x:c>
      <x:c r="H116" s="251" t="n">
        <x:f>SUM('规格明细'!K136)</x:f>
        <x:v>24.64</x:v>
      </x:c>
      <x:c r="I116" s="251" t="n">
        <x:f>SUM('规格明细'!L136)</x:f>
        <x:v>1.1088</x:v>
      </x:c>
      <x:c r="J116" s="250" t="n">
        <x:f>'机会输入'!C57</x:f>
        <x:v>0.8</x:v>
      </x:c>
      <x:c r="K116" s="251" t="n">
        <x:f>I116*J116</x:f>
        <x:v>0.88704</x:v>
      </x:c>
      <x:c r="L116" s="251" t="n">
        <x:f>K116*'机会输入'!E4</x:f>
        <x:v>0.2927232</x:v>
      </x:c>
      <x:c r="M116" s="245"/>
    </x:row>
    <x:row r="117">
      <x:c r="A117" s="240" t="str">
        <x:v>2026E</x:v>
      </x:c>
      <x:c r="B117" s="240" t="str">
        <x:v>1.6T可插拔透镜</x:v>
      </x:c>
      <x:c r="C117" s="251" t="n">
        <x:f>SUM('规格明细'!D137)</x:f>
        <x:v>1880</x:v>
      </x:c>
      <x:c r="D117" s="251" t="n">
        <x:f>IF(C117=0,0,SUM('规格明细'!G137)/C117/10000)</x:f>
        <x:v>10</x:v>
      </x:c>
      <x:c r="E117" s="251" t="n">
        <x:f>SUM('规格明细'!G137)</x:f>
        <x:v>188000000</x:v>
      </x:c>
      <x:c r="F117" s="251" t="n">
        <x:f>IF(E117=0,0,SUM('规格明细'!K137)*100000000/E117)</x:f>
        <x:v>6.16</x:v>
      </x:c>
      <x:c r="G117" s="250" t="n">
        <x:f>IF(H117=0,0,SUM('规格明细'!L137)/H117)</x:f>
        <x:v>0.04499999999999999</x:v>
      </x:c>
      <x:c r="H117" s="251" t="n">
        <x:f>SUM('规格明细'!K137)</x:f>
        <x:v>11.5808</x:v>
      </x:c>
      <x:c r="I117" s="251" t="n">
        <x:f>SUM('规格明细'!L137)</x:f>
        <x:v>0.5211359999999999</x:v>
      </x:c>
      <x:c r="J117" s="250" t="n">
        <x:f>'机会输入'!C58</x:f>
        <x:v>0.8</x:v>
      </x:c>
      <x:c r="K117" s="251" t="n">
        <x:f>I117*J117</x:f>
        <x:v>0.41690879999999997</x:v>
      </x:c>
      <x:c r="L117" s="251" t="n">
        <x:f>K117*'机会输入'!E4</x:f>
        <x:v>0.137579904</x:v>
      </x:c>
      <x:c r="M117" s="245"/>
    </x:row>
    <x:row r="118">
      <x:c r="A118" s="240" t="str">
        <x:v>2026E</x:v>
      </x:c>
      <x:c r="B118" s="240" t="str">
        <x:v>OCS NxN透镜阵列</x:v>
      </x:c>
      <x:c r="C118" s="251" t="n">
        <x:f>SUM('规格明细'!D138,'规格明细'!D139)</x:f>
        <x:v>2</x:v>
      </x:c>
      <x:c r="D118" s="251" t="n">
        <x:f>IF(C118=0,0,SUM('规格明细'!G138,'规格明细'!G139)/C118/10000)</x:f>
        <x:v>352</x:v>
      </x:c>
      <x:c r="E118" s="251" t="n">
        <x:f>SUM('规格明细'!G138,'规格明细'!G139)</x:f>
        <x:v>7040000</x:v>
      </x:c>
      <x:c r="F118" s="251" t="n">
        <x:f>IF(E118=0,0,SUM('规格明细'!K138,'规格明细'!K139)*100000000/E118)</x:f>
        <x:v>36.36363636363637</x:v>
      </x:c>
      <x:c r="G118" s="250" t="n">
        <x:f>IF(H118=0,0,SUM('规格明细'!L138,'规格明细'!L139)/H118)</x:f>
        <x:v>1</x:v>
      </x:c>
      <x:c r="H118" s="251" t="n">
        <x:f>SUM('规格明细'!K138,'规格明细'!K139)</x:f>
        <x:v>2.56</x:v>
      </x:c>
      <x:c r="I118" s="251" t="n">
        <x:f>SUM('规格明细'!L138,'规格明细'!L139)</x:f>
        <x:v>2.56</x:v>
      </x:c>
      <x:c r="J118" s="250" t="n">
        <x:f>'机会输入'!C59</x:f>
        <x:v>0.7</x:v>
      </x:c>
      <x:c r="K118" s="251" t="n">
        <x:f>I118*J118</x:f>
        <x:v>1.7919999999999998</x:v>
      </x:c>
      <x:c r="L118" s="251" t="n">
        <x:f>K118*'机会输入'!E4</x:f>
        <x:v>0.59136</x:v>
      </x:c>
      <x:c r="M118" s="245"/>
    </x:row>
    <x:row r="119">
      <x:c r="A119" s="240" t="str">
        <x:v>2026E</x:v>
      </x:c>
      <x:c r="B119" s="240" t="str">
        <x:v>FAU V型槽</x:v>
      </x:c>
      <x:c r="C119" s="251" t="n">
        <x:f>$C$4*MAX(0,'机会输入'!$B$37)</x:f>
        <x:v>64</x:v>
      </x:c>
      <x:c r="D119" s="251" t="n">
        <x:f>$C$5*$C$6</x:f>
        <x:v>36</x:v>
      </x:c>
      <x:c r="E119" s="251" t="n">
        <x:f>C119*10000*D119</x:f>
        <x:v>23040000</x:v>
      </x:c>
      <x:c r="F119" s="251" t="n">
        <x:f>('机会输入'!E19)*MAX(0,'机会输入'!$C$37)*'规格输入'!$E$7*MAX(0,'机会输入'!E5)</x:f>
        <x:v>9.856000000000002</x:v>
      </x:c>
      <x:c r="G119" s="250" t="n">
        <x:f>MAX(0,MIN(1,'机会输入'!E20*MAX(0,'机会输入'!$D$37)))</x:f>
        <x:v>0.50625</x:v>
      </x:c>
      <x:c r="H119" s="251" t="n">
        <x:f>E119*F119/100000000</x:f>
        <x:v>2.2708224</x:v>
      </x:c>
      <x:c r="I119" s="251" t="n">
        <x:f>H119*G119</x:f>
        <x:v>1.14960384</x:v>
      </x:c>
      <x:c r="J119" s="250" t="n">
        <x:f>'机会输入'!C60</x:f>
        <x:v>0.5</x:v>
      </x:c>
      <x:c r="K119" s="251" t="n">
        <x:f>I119*J119</x:f>
        <x:v>0.57480192</x:v>
      </x:c>
      <x:c r="L119" s="251" t="n">
        <x:f>K119*'机会输入'!E4</x:f>
        <x:v>0.18968463359999999</x:v>
      </x:c>
      <x:c r="M119" s="245"/>
    </x:row>
    <x:row r="120">
      <x:c r="A120" s="240" t="str">
        <x:v>2026E</x:v>
      </x:c>
      <x:c r="B120" s="240" t="str">
        <x:v>FAU棱镜透镜阵列</x:v>
      </x:c>
      <x:c r="C120" s="251" t="n">
        <x:f>$C$4*MAX(0,'机会输入'!$B$37)</x:f>
        <x:v>64</x:v>
      </x:c>
      <x:c r="D120" s="251" t="n">
        <x:f>$C$5*$C$6</x:f>
        <x:v>36</x:v>
      </x:c>
      <x:c r="E120" s="251" t="n">
        <x:f>C120*10000*D120</x:f>
        <x:v>23040000</x:v>
      </x:c>
      <x:c r="F120" s="251" t="n">
        <x:f>('机会输入'!E23)*MAX(0,'机会输入'!$C$37)*'规格输入'!$E$7*MAX(0,'机会输入'!E5)</x:f>
        <x:v>14.080000000000002</x:v>
      </x:c>
      <x:c r="G120" s="250" t="n">
        <x:f>'机会输入'!E24</x:f>
        <x:v>0.45</x:v>
      </x:c>
      <x:c r="H120" s="251" t="n">
        <x:f>E120*F120/100000000</x:f>
        <x:v>3.2440320000000007</x:v>
      </x:c>
      <x:c r="I120" s="251" t="n">
        <x:f>H120*G120</x:f>
        <x:v>1.4598144000000004</x:v>
      </x:c>
      <x:c r="J120" s="250" t="n">
        <x:f>'机会输入'!C61</x:f>
        <x:v>0.5</x:v>
      </x:c>
      <x:c r="K120" s="251" t="n">
        <x:f>I120*J120</x:f>
        <x:v>0.7299072000000002</x:v>
      </x:c>
      <x:c r="L120" s="251" t="n">
        <x:f>K120*'机会输入'!E4</x:f>
        <x:v>0.24086937600000008</x:v>
      </x:c>
      <x:c r="M120" s="245"/>
    </x:row>
    <x:row r="121">
      <x:c r="A121" s="240" t="str">
        <x:v>2026E</x:v>
      </x:c>
      <x:c r="B121" s="240" t="str">
        <x:v>ELS透镜＋热沉</x:v>
      </x:c>
      <x:c r="C121" s="251" t="n">
        <x:f>$C$4*MAX(0,'机会输入'!$B$37)</x:f>
        <x:v>64</x:v>
      </x:c>
      <x:c r="D121" s="251" t="n">
        <x:f>$C$8/$C$7</x:f>
        <x:v>4</x:v>
      </x:c>
      <x:c r="E121" s="251" t="n">
        <x:f>C121*10000*D121</x:f>
        <x:v>2560000</x:v>
      </x:c>
      <x:c r="F121" s="251" t="n">
        <x:f>('机会输入'!E26+'机会输入'!E27)*MAX(0,'机会输入'!$C$37)*'规格输入'!$E$7*MAX(0,'机会输入'!E5)</x:f>
        <x:v>70.4</x:v>
      </x:c>
      <x:c r="G121" s="250" t="n">
        <x:f>MAX(0,MIN(1,'机会输入'!E28*MAX(0,'机会输入'!$D$37)))</x:f>
        <x:v>0.50625</x:v>
      </x:c>
      <x:c r="H121" s="251" t="n">
        <x:f>E121*F121/100000000</x:f>
        <x:v>1.80224</x:v>
      </x:c>
      <x:c r="I121" s="251" t="n">
        <x:f>H121*G121</x:f>
        <x:v>0.912384</x:v>
      </x:c>
      <x:c r="J121" s="250" t="n">
        <x:f>'机会输入'!C62</x:f>
        <x:v>0.5</x:v>
      </x:c>
      <x:c r="K121" s="251" t="n">
        <x:f>I121*J121</x:f>
        <x:v>0.456192</x:v>
      </x:c>
      <x:c r="L121" s="251" t="n">
        <x:f>K121*'机会输入'!E4</x:f>
        <x:v>0.15054336000000001</x:v>
      </x:c>
      <x:c r="M121" s="245"/>
    </x:row>
    <x:row r="122">
      <x:c r="A122" s="240" t="str">
        <x:v>2026E</x:v>
      </x:c>
      <x:c r="B122" s="240" t="str">
        <x:v>FAU关键尺寸量测设备</x:v>
      </x:c>
      <x:c r="C122" s="251" t="n">
        <x:f>$C$4*MAX(0,'机会输入'!$B$37)</x:f>
        <x:v>64</x:v>
      </x:c>
      <x:c r="D122" s="251" t="n">
        <x:f>$C$5/'规格输入'!$E$10</x:f>
        <x:v>0.001</x:v>
      </x:c>
      <x:c r="E122" s="251" t="n">
        <x:f>C122*10000*D122</x:f>
        <x:v>640</x:v>
      </x:c>
      <x:c r="F122" s="251" t="n">
        <x:f>('机会输入'!E30)*MAX(0,'机会输入'!$C$37)*'规格输入'!$E$7</x:f>
        <x:v>70400</x:v>
      </x:c>
      <x:c r="G122" s="250" t="n">
        <x:f>MAX(0,MIN(1,'机会输入'!E31*MAX(0,'机会输入'!$D$37)))</x:f>
        <x:v>0.1125</x:v>
      </x:c>
      <x:c r="H122" s="251" t="n">
        <x:f>E122*F122/100000000</x:f>
        <x:v>0.45056</x:v>
      </x:c>
      <x:c r="I122" s="251" t="n">
        <x:f>H122*G122</x:f>
        <x:v>0.050688000000000004</x:v>
      </x:c>
      <x:c r="J122" s="250" t="n">
        <x:f>'机会输入'!C63</x:f>
        <x:v>0</x:v>
      </x:c>
      <x:c r="K122" s="251" t="n">
        <x:f>I122*J122</x:f>
        <x:v>0</x:v>
      </x:c>
      <x:c r="L122" s="251" t="n">
        <x:f>K122*'机会输入'!E4</x:f>
        <x:v>0</x:v>
      </x:c>
      <x:c r="M122" s="245"/>
    </x:row>
    <x:row r="123">
      <x:c r="A123" s="197" t="str">
        <x:v>2026E</x:v>
      </x:c>
      <x:c r="B123" s="197" t="str">
        <x:v>独立参考合计</x:v>
      </x:c>
      <x:c r="C123" s="214"/>
      <x:c r="D123" s="214"/>
      <x:c r="E123" s="214"/>
      <x:c r="F123" s="214"/>
      <x:c r="G123" s="222"/>
      <x:c r="H123" s="214" t="n">
        <x:f>SUM(H116:H122)</x:f>
        <x:v>46.548454400000004</x:v>
      </x:c>
      <x:c r="I123" s="214" t="n">
        <x:f>SUM(I116:I122)</x:f>
        <x:v>7.76242624</x:v>
      </x:c>
      <x:c r="J123" s="222"/>
      <x:c r="K123" s="214" t="n">
        <x:f>SUM(K116:K122)</x:f>
        <x:v>4.85684992</x:v>
      </x:c>
      <x:c r="L123" s="214" t="n">
        <x:f>SUM(L116:L122)</x:f>
        <x:v>1.6027604736</x:v>
      </x:c>
      <x:c r="M123" s="245"/>
    </x:row>
    <x:row r="124">
      <x:c r="A124" s="240" t="str">
        <x:v>2027E</x:v>
      </x:c>
      <x:c r="B124" s="240" t="str">
        <x:v>800G可插拔透镜</x:v>
      </x:c>
      <x:c r="C124" s="251" t="n">
        <x:f>SUM('规格明细'!D148)</x:f>
        <x:v>7250</x:v>
      </x:c>
      <x:c r="D124" s="251" t="n">
        <x:f>IF(C124=0,0,SUM('规格明细'!G148)/C124/10000)</x:f>
        <x:v>10</x:v>
      </x:c>
      <x:c r="E124" s="251" t="n">
        <x:f>SUM('规格明细'!G148)</x:f>
        <x:v>725000000</x:v>
      </x:c>
      <x:c r="F124" s="251" t="n">
        <x:f>IF(E124=0,0,SUM('规格明细'!K148)*100000000/E124)</x:f>
        <x:v>3.960000000000001</x:v>
      </x:c>
      <x:c r="G124" s="250" t="n">
        <x:f>IF(H124=0,0,SUM('规格明细'!L148)/H124)</x:f>
        <x:v>0.1</x:v>
      </x:c>
      <x:c r="H124" s="251" t="n">
        <x:f>SUM('规格明细'!K148)</x:f>
        <x:v>28.710000000000004</x:v>
      </x:c>
      <x:c r="I124" s="251" t="n">
        <x:f>SUM('规格明细'!L148)</x:f>
        <x:v>2.8710000000000004</x:v>
      </x:c>
      <x:c r="J124" s="250" t="n">
        <x:f>'机会输入'!D57</x:f>
        <x:v>0.9</x:v>
      </x:c>
      <x:c r="K124" s="251" t="n">
        <x:f>I124*J124</x:f>
        <x:v>2.5839000000000003</x:v>
      </x:c>
      <x:c r="L124" s="251" t="n">
        <x:f>K124*'机会输入'!F4</x:f>
        <x:v>0.8526870000000002</x:v>
      </x:c>
      <x:c r="M124" s="245"/>
    </x:row>
    <x:row r="125">
      <x:c r="A125" s="240" t="str">
        <x:v>2027E</x:v>
      </x:c>
      <x:c r="B125" s="240" t="str">
        <x:v>1.6T可插拔透镜</x:v>
      </x:c>
      <x:c r="C125" s="251" t="n">
        <x:f>SUM('规格明细'!D149)</x:f>
        <x:v>6400</x:v>
      </x:c>
      <x:c r="D125" s="251" t="n">
        <x:f>IF(C125=0,0,SUM('规格明细'!G149)/C125/10000)</x:f>
        <x:v>10</x:v>
      </x:c>
      <x:c r="E125" s="251" t="n">
        <x:f>SUM('规格明细'!G149)</x:f>
        <x:v>640000000</x:v>
      </x:c>
      <x:c r="F125" s="251" t="n">
        <x:f>IF(E125=0,0,SUM('规格明细'!K149)*100000000/E125)</x:f>
        <x:v>5.544000000000001</x:v>
      </x:c>
      <x:c r="G125" s="250" t="n">
        <x:f>IF(H125=0,0,SUM('规格明细'!L149)/H125)</x:f>
        <x:v>0.1</x:v>
      </x:c>
      <x:c r="H125" s="251" t="n">
        <x:f>SUM('规格明细'!K149)</x:f>
        <x:v>35.48160000000001</x:v>
      </x:c>
      <x:c r="I125" s="251" t="n">
        <x:f>SUM('规格明细'!L149)</x:f>
        <x:v>3.548160000000001</x:v>
      </x:c>
      <x:c r="J125" s="250" t="n">
        <x:f>'机会输入'!D58</x:f>
        <x:v>0.9</x:v>
      </x:c>
      <x:c r="K125" s="251" t="n">
        <x:f>I125*J125</x:f>
        <x:v>3.193344000000001</x:v>
      </x:c>
      <x:c r="L125" s="251" t="n">
        <x:f>K125*'机会输入'!F4</x:f>
        <x:v>1.0538035200000004</x:v>
      </x:c>
      <x:c r="M125" s="245"/>
    </x:row>
    <x:row r="126">
      <x:c r="A126" s="240" t="str">
        <x:v>2027E</x:v>
      </x:c>
      <x:c r="B126" s="240" t="str">
        <x:v>OCS NxN透镜阵列</x:v>
      </x:c>
      <x:c r="C126" s="251" t="n">
        <x:f>SUM('规格明细'!D150,'规格明细'!D151)</x:f>
        <x:v>10</x:v>
      </x:c>
      <x:c r="D126" s="251" t="n">
        <x:f>IF(C126=0,0,SUM('规格明细'!G150,'规格明细'!G151)/C126/10000)</x:f>
        <x:v>409.6</x:v>
      </x:c>
      <x:c r="E126" s="251" t="n">
        <x:f>SUM('规格明细'!G150,'规格明细'!G151)</x:f>
        <x:v>40960000</x:v>
      </x:c>
      <x:c r="F126" s="251" t="n">
        <x:f>IF(E126=0,0,SUM('规格明细'!K150,'规格明细'!K151)*100000000/E126)</x:f>
        <x:v>32.5</x:v>
      </x:c>
      <x:c r="G126" s="250" t="n">
        <x:f>IF(H126=0,0,SUM('规格明细'!L150,'规格明细'!L151)/H126)</x:f>
        <x:v>1</x:v>
      </x:c>
      <x:c r="H126" s="251" t="n">
        <x:f>SUM('规格明细'!K150,'规格明细'!K151)</x:f>
        <x:v>13.312000000000001</x:v>
      </x:c>
      <x:c r="I126" s="251" t="n">
        <x:f>SUM('规格明细'!L150,'规格明细'!L151)</x:f>
        <x:v>13.312000000000001</x:v>
      </x:c>
      <x:c r="J126" s="250" t="n">
        <x:f>'机会输入'!D59</x:f>
        <x:v>0.8</x:v>
      </x:c>
      <x:c r="K126" s="251" t="n">
        <x:f>I126*J126</x:f>
        <x:v>10.649600000000001</x:v>
      </x:c>
      <x:c r="L126" s="251" t="n">
        <x:f>K126*'机会输入'!F4</x:f>
        <x:v>3.5143680000000006</x:v>
      </x:c>
      <x:c r="M126" s="245"/>
    </x:row>
    <x:row r="127">
      <x:c r="A127" s="240" t="str">
        <x:v>2027E</x:v>
      </x:c>
      <x:c r="B127" s="240" t="str">
        <x:v>FAU V型槽</x:v>
      </x:c>
      <x:c r="C127" s="251" t="n">
        <x:f>$D$4*MAX(0,'机会输入'!$B$37)</x:f>
        <x:v>400</x:v>
      </x:c>
      <x:c r="D127" s="251" t="n">
        <x:f>$C$5*$C$6</x:f>
        <x:v>36</x:v>
      </x:c>
      <x:c r="E127" s="251" t="n">
        <x:f>C127*10000*D127</x:f>
        <x:v>144000000</x:v>
      </x:c>
      <x:c r="F127" s="251" t="n">
        <x:f>('机会输入'!F19)*MAX(0,'机会输入'!$C$37)*'规格输入'!$E$7*MAX(0,'机会输入'!F5)</x:f>
        <x:v>7.884800000000002</x:v>
      </x:c>
      <x:c r="G127" s="250" t="n">
        <x:f>MAX(0,MIN(1,'机会输入'!F20*MAX(0,'机会输入'!$E$37)))</x:f>
        <x:v>0.5555555555555556</x:v>
      </x:c>
      <x:c r="H127" s="251" t="n">
        <x:f>E127*F127/100000000</x:f>
        <x:v>11.354112000000002</x:v>
      </x:c>
      <x:c r="I127" s="251" t="n">
        <x:f>H127*G127</x:f>
        <x:v>6.3078400000000014</x:v>
      </x:c>
      <x:c r="J127" s="250" t="n">
        <x:f>'机会输入'!D60</x:f>
        <x:v>0.7</x:v>
      </x:c>
      <x:c r="K127" s="251" t="n">
        <x:f>I127*J127</x:f>
        <x:v>4.415488000000001</x:v>
      </x:c>
      <x:c r="L127" s="251" t="n">
        <x:f>K127*'机会输入'!F4</x:f>
        <x:v>1.4571110400000002</x:v>
      </x:c>
      <x:c r="M127" s="245"/>
    </x:row>
    <x:row r="128">
      <x:c r="A128" s="240" t="str">
        <x:v>2027E</x:v>
      </x:c>
      <x:c r="B128" s="240" t="str">
        <x:v>FAU棱镜透镜阵列</x:v>
      </x:c>
      <x:c r="C128" s="251" t="n">
        <x:f>$D$4*MAX(0,'机会输入'!$B$37)</x:f>
        <x:v>400</x:v>
      </x:c>
      <x:c r="D128" s="251" t="n">
        <x:f>$C$5*$C$6</x:f>
        <x:v>36</x:v>
      </x:c>
      <x:c r="E128" s="251" t="n">
        <x:f>C128*10000*D128</x:f>
        <x:v>144000000</x:v>
      </x:c>
      <x:c r="F128" s="251" t="n">
        <x:f>('机会输入'!F23)*MAX(0,'机会输入'!$C$37)*'规格输入'!$E$7*MAX(0,'机会输入'!F5)</x:f>
        <x:v>11.264000000000003</x:v>
      </x:c>
      <x:c r="G128" s="250" t="n">
        <x:f>'机会输入'!F24</x:f>
        <x:v>0.45</x:v>
      </x:c>
      <x:c r="H128" s="251" t="n">
        <x:f>E128*F128/100000000</x:f>
        <x:v>16.220160000000003</x:v>
      </x:c>
      <x:c r="I128" s="251" t="n">
        <x:f>H128*G128</x:f>
        <x:v>7.299072000000002</x:v>
      </x:c>
      <x:c r="J128" s="250" t="n">
        <x:f>'机会输入'!D61</x:f>
        <x:v>0.7</x:v>
      </x:c>
      <x:c r="K128" s="251" t="n">
        <x:f>I128*J128</x:f>
        <x:v>5.109350400000001</x:v>
      </x:c>
      <x:c r="L128" s="251" t="n">
        <x:f>K128*'机会输入'!F4</x:f>
        <x:v>1.6860856320000004</x:v>
      </x:c>
      <x:c r="M128" s="245"/>
    </x:row>
    <x:row r="129">
      <x:c r="A129" s="240" t="str">
        <x:v>2027E</x:v>
      </x:c>
      <x:c r="B129" s="240" t="str">
        <x:v>ELS透镜＋热沉</x:v>
      </x:c>
      <x:c r="C129" s="251" t="n">
        <x:f>$D$4*MAX(0,'机会输入'!$B$37)</x:f>
        <x:v>400</x:v>
      </x:c>
      <x:c r="D129" s="251" t="n">
        <x:f>$C$8/$C$7</x:f>
        <x:v>4</x:v>
      </x:c>
      <x:c r="E129" s="251" t="n">
        <x:f>C129*10000*D129</x:f>
        <x:v>16000000</x:v>
      </x:c>
      <x:c r="F129" s="251" t="n">
        <x:f>('机会输入'!F26+'机会输入'!F27)*MAX(0,'机会输入'!$C$37)*'规格输入'!$E$7*MAX(0,'机会输入'!F5)</x:f>
        <x:v>56.32000000000001</x:v>
      </x:c>
      <x:c r="G129" s="250" t="n">
        <x:f>MAX(0,MIN(1,'机会输入'!F28*MAX(0,'机会输入'!$E$37)))</x:f>
        <x:v>0.5</x:v>
      </x:c>
      <x:c r="H129" s="251" t="n">
        <x:f>E129*F129/100000000</x:f>
        <x:v>9.0112</x:v>
      </x:c>
      <x:c r="I129" s="251" t="n">
        <x:f>H129*G129</x:f>
        <x:v>4.5056</x:v>
      </x:c>
      <x:c r="J129" s="250" t="n">
        <x:f>'机会输入'!D62</x:f>
        <x:v>0.7</x:v>
      </x:c>
      <x:c r="K129" s="251" t="n">
        <x:f>I129*J129</x:f>
        <x:v>3.15392</x:v>
      </x:c>
      <x:c r="L129" s="251" t="n">
        <x:f>K129*'机会输入'!F4</x:f>
        <x:v>1.0407936</x:v>
      </x:c>
      <x:c r="M129" s="245"/>
    </x:row>
    <x:row r="130">
      <x:c r="A130" s="240" t="str">
        <x:v>2027E</x:v>
      </x:c>
      <x:c r="B130" s="240" t="str">
        <x:v>FAU关键尺寸量测设备</x:v>
      </x:c>
      <x:c r="C130" s="251" t="n">
        <x:f>$D$4*MAX(0,'机会输入'!$B$37)</x:f>
        <x:v>400</x:v>
      </x:c>
      <x:c r="D130" s="251" t="n">
        <x:f>$C$5/'规格输入'!$E$10</x:f>
        <x:v>0.001</x:v>
      </x:c>
      <x:c r="E130" s="251" t="n">
        <x:f>C130*10000*D130</x:f>
        <x:v>4000</x:v>
      </x:c>
      <x:c r="F130" s="251" t="n">
        <x:f>('机会输入'!F30)*MAX(0,'机会输入'!$C$37)*'规格输入'!$E$7</x:f>
        <x:v>70400</x:v>
      </x:c>
      <x:c r="G130" s="250" t="n">
        <x:f>MAX(0,MIN(1,'机会输入'!F31*MAX(0,'机会输入'!$E$37)))</x:f>
        <x:v>0.3333333333333333</x:v>
      </x:c>
      <x:c r="H130" s="251" t="n">
        <x:f>E130*F130/100000000</x:f>
        <x:v>2.816</x:v>
      </x:c>
      <x:c r="I130" s="251" t="n">
        <x:f>H130*G130</x:f>
        <x:v>0.9386666666666665</x:v>
      </x:c>
      <x:c r="J130" s="250" t="n">
        <x:f>'机会输入'!D63</x:f>
        <x:v>0.5</x:v>
      </x:c>
      <x:c r="K130" s="251" t="n">
        <x:f>I130*J130</x:f>
        <x:v>0.46933333333333327</x:v>
      </x:c>
      <x:c r="L130" s="251" t="n">
        <x:f>K130*'机会输入'!F4</x:f>
        <x:v>0.15488</x:v>
      </x:c>
      <x:c r="M130" s="245"/>
    </x:row>
    <x:row r="131">
      <x:c r="A131" s="197" t="str">
        <x:v>2027E</x:v>
      </x:c>
      <x:c r="B131" s="197" t="str">
        <x:v>独立参考合计</x:v>
      </x:c>
      <x:c r="C131" s="214"/>
      <x:c r="D131" s="214"/>
      <x:c r="E131" s="214"/>
      <x:c r="F131" s="214"/>
      <x:c r="G131" s="222"/>
      <x:c r="H131" s="214" t="n">
        <x:f>SUM(H124:H130)</x:f>
        <x:v>116.90507200000002</x:v>
      </x:c>
      <x:c r="I131" s="214" t="n">
        <x:f>SUM(I124:I130)</x:f>
        <x:v>38.782338666666675</x:v>
      </x:c>
      <x:c r="J131" s="222"/>
      <x:c r="K131" s="214" t="n">
        <x:f>SUM(K124:K130)</x:f>
        <x:v>29.574935733333337</x:v>
      </x:c>
      <x:c r="L131" s="214" t="n">
        <x:f>SUM(L124:L130)</x:f>
        <x:v>9.759728792000002</x:v>
      </x:c>
      <x:c r="M131" s="245"/>
    </x:row>
    <x:row r="132">
      <x:c r="A132" s="240" t="str">
        <x:v>2028E</x:v>
      </x:c>
      <x:c r="B132" s="240" t="str">
        <x:v>800G可插拔透镜</x:v>
      </x:c>
      <x:c r="C132" s="251" t="n">
        <x:f>SUM('规格明细'!D160)</x:f>
        <x:v>5000</x:v>
      </x:c>
      <x:c r="D132" s="251" t="n">
        <x:f>IF(C132=0,0,SUM('规格明细'!G160)/C132/10000)</x:f>
        <x:v>10</x:v>
      </x:c>
      <x:c r="E132" s="251" t="n">
        <x:f>SUM('规格明细'!G160)</x:f>
        <x:v>500000000</x:v>
      </x:c>
      <x:c r="F132" s="251" t="n">
        <x:f>IF(E132=0,0,SUM('规格明细'!K160)*100000000/E132)</x:f>
        <x:v>3.564000000000001</x:v>
      </x:c>
      <x:c r="G132" s="250" t="n">
        <x:f>IF(H132=0,0,SUM('规格明细'!L160)/H132)</x:f>
        <x:v>0.11000000000000001</x:v>
      </x:c>
      <x:c r="H132" s="251" t="n">
        <x:f>SUM('规格明细'!K160)</x:f>
        <x:v>17.820000000000004</x:v>
      </x:c>
      <x:c r="I132" s="251" t="n">
        <x:f>SUM('规格明细'!L160)</x:f>
        <x:v>1.9602000000000006</x:v>
      </x:c>
      <x:c r="J132" s="250" t="n">
        <x:f>'机会输入'!E57</x:f>
        <x:v>0.9</x:v>
      </x:c>
      <x:c r="K132" s="251" t="n">
        <x:f>I132*J132</x:f>
        <x:v>1.7641800000000005</x:v>
      </x:c>
      <x:c r="L132" s="251" t="n">
        <x:f>K132*'机会输入'!G4</x:f>
        <x:v>0.5821794000000002</x:v>
      </x:c>
      <x:c r="M132" s="245"/>
    </x:row>
    <x:row r="133">
      <x:c r="A133" s="240" t="str">
        <x:v>2028E</x:v>
      </x:c>
      <x:c r="B133" s="240" t="str">
        <x:v>1.6T可插拔透镜</x:v>
      </x:c>
      <x:c r="C133" s="251" t="n">
        <x:f>SUM('规格明细'!D161)</x:f>
        <x:v>10500</x:v>
      </x:c>
      <x:c r="D133" s="251" t="n">
        <x:f>IF(C133=0,0,SUM('规格明细'!G161)/C133/10000)</x:f>
        <x:v>10</x:v>
      </x:c>
      <x:c r="E133" s="251" t="n">
        <x:f>SUM('规格明细'!G161)</x:f>
        <x:v>1050000000</x:v>
      </x:c>
      <x:c r="F133" s="251" t="n">
        <x:f>IF(E133=0,0,SUM('规格明细'!K161)*100000000/E133)</x:f>
        <x:v>4.9896</x:v>
      </x:c>
      <x:c r="G133" s="250" t="n">
        <x:f>IF(H133=0,0,SUM('规格明细'!L161)/H133)</x:f>
        <x:v>0.11000000000000001</x:v>
      </x:c>
      <x:c r="H133" s="251" t="n">
        <x:f>SUM('规格明细'!K161)</x:f>
        <x:v>52.3908</x:v>
      </x:c>
      <x:c r="I133" s="251" t="n">
        <x:f>SUM('规格明细'!L161)</x:f>
        <x:v>5.762988000000001</x:v>
      </x:c>
      <x:c r="J133" s="250" t="n">
        <x:f>'机会输入'!E58</x:f>
        <x:v>0.9</x:v>
      </x:c>
      <x:c r="K133" s="251" t="n">
        <x:f>I133*J133</x:f>
        <x:v>5.186689200000001</x:v>
      </x:c>
      <x:c r="L133" s="251" t="n">
        <x:f>K133*'机会输入'!G4</x:f>
        <x:v>1.7116074360000004</x:v>
      </x:c>
      <x:c r="M133" s="245"/>
    </x:row>
    <x:row r="134">
      <x:c r="A134" s="240" t="str">
        <x:v>2028E</x:v>
      </x:c>
      <x:c r="B134" s="240" t="str">
        <x:v>OCS NxN透镜阵列</x:v>
      </x:c>
      <x:c r="C134" s="251" t="n">
        <x:f>SUM('规格明细'!D162,'规格明细'!D163)</x:f>
        <x:v>20</x:v>
      </x:c>
      <x:c r="D134" s="251" t="n">
        <x:f>IF(C134=0,0,SUM('规格明细'!G162,'规格明细'!G163)/C134/10000)</x:f>
        <x:v>467.2</x:v>
      </x:c>
      <x:c r="E134" s="251" t="n">
        <x:f>SUM('规格明细'!G162,'规格明细'!G163)</x:f>
        <x:v>93440000</x:v>
      </x:c>
      <x:c r="F134" s="251" t="n">
        <x:f>IF(E134=0,0,SUM('规格明细'!K162,'规格明细'!K163)*100000000/E134)</x:f>
        <x:v>31.561643835616437</x:v>
      </x:c>
      <x:c r="G134" s="250" t="n">
        <x:f>IF(H134=0,0,SUM('规格明细'!L162,'规格明细'!L163)/H134)</x:f>
        <x:v>0.9272656250000003</x:v>
      </x:c>
      <x:c r="H134" s="251" t="n">
        <x:f>SUM('规格明细'!K162,'规格明细'!K163)</x:f>
        <x:v>29.4912</x:v>
      </x:c>
      <x:c r="I134" s="251" t="n">
        <x:f>SUM('规格明细'!L162,'规格明细'!L163)</x:f>
        <x:v>27.346176000000007</x:v>
      </x:c>
      <x:c r="J134" s="250" t="n">
        <x:f>'机会输入'!E59</x:f>
        <x:v>0.8</x:v>
      </x:c>
      <x:c r="K134" s="251" t="n">
        <x:f>I134*J134</x:f>
        <x:v>21.876940800000007</x:v>
      </x:c>
      <x:c r="L134" s="251" t="n">
        <x:f>K134*'机会输入'!G4</x:f>
        <x:v>7.219390464000003</x:v>
      </x:c>
      <x:c r="M134" s="245"/>
    </x:row>
    <x:row r="135">
      <x:c r="A135" s="240" t="str">
        <x:v>2028E</x:v>
      </x:c>
      <x:c r="B135" s="240" t="str">
        <x:v>FAU V型槽</x:v>
      </x:c>
      <x:c r="C135" s="251" t="n">
        <x:f>$E$4*MAX(0,'机会输入'!$B$37)</x:f>
        <x:v>1194</x:v>
      </x:c>
      <x:c r="D135" s="251" t="n">
        <x:f>$C$5*$C$6</x:f>
        <x:v>36</x:v>
      </x:c>
      <x:c r="E135" s="251" t="n">
        <x:f>C135*10000*D135</x:f>
        <x:v>429840000</x:v>
      </x:c>
      <x:c r="F135" s="251" t="n">
        <x:f>('机会输入'!G19)*MAX(0,'机会输入'!$C$37)*'规格输入'!$E$7*MAX(0,'机会输入'!G5)</x:f>
        <x:v>7.096320000000001</x:v>
      </x:c>
      <x:c r="G135" s="250" t="n">
        <x:f>MAX(0,MIN(1,'机会输入'!G20*MAX(0,'机会输入'!$F$37)))</x:f>
        <x:v>0.6050000000000001</x:v>
      </x:c>
      <x:c r="H135" s="251" t="n">
        <x:f>E135*F135/100000000</x:f>
        <x:v>30.502821888000007</x:v>
      </x:c>
      <x:c r="I135" s="251" t="n">
        <x:f>H135*G135</x:f>
        <x:v>18.454207242240006</x:v>
      </x:c>
      <x:c r="J135" s="250" t="n">
        <x:f>'机会输入'!E60</x:f>
        <x:v>0.8</x:v>
      </x:c>
      <x:c r="K135" s="251" t="n">
        <x:f>I135*J135</x:f>
        <x:v>14.763365793792005</x:v>
      </x:c>
      <x:c r="L135" s="251" t="n">
        <x:f>K135*'机会输入'!G4</x:f>
        <x:v>4.871910711951362</x:v>
      </x:c>
      <x:c r="M135" s="245"/>
    </x:row>
    <x:row r="136">
      <x:c r="A136" s="240" t="str">
        <x:v>2028E</x:v>
      </x:c>
      <x:c r="B136" s="240" t="str">
        <x:v>FAU棱镜透镜阵列</x:v>
      </x:c>
      <x:c r="C136" s="251" t="n">
        <x:f>$E$4*MAX(0,'机会输入'!$B$37)</x:f>
        <x:v>1194</x:v>
      </x:c>
      <x:c r="D136" s="251" t="n">
        <x:f>$C$5*$C$6</x:f>
        <x:v>36</x:v>
      </x:c>
      <x:c r="E136" s="251" t="n">
        <x:f>C136*10000*D136</x:f>
        <x:v>429840000</x:v>
      </x:c>
      <x:c r="F136" s="251" t="n">
        <x:f>('机会输入'!G23)*MAX(0,'机会输入'!$C$37)*'规格输入'!$E$7*MAX(0,'机会输入'!G5)</x:f>
        <x:v>10.1376</x:v>
      </x:c>
      <x:c r="G136" s="250" t="n">
        <x:f>'机会输入'!G24</x:f>
        <x:v>0.45</x:v>
      </x:c>
      <x:c r="H136" s="251" t="n">
        <x:f>E136*F136/100000000</x:f>
        <x:v>43.57545984</x:v>
      </x:c>
      <x:c r="I136" s="251" t="n">
        <x:f>H136*G136</x:f>
        <x:v>19.608956928</x:v>
      </x:c>
      <x:c r="J136" s="250" t="n">
        <x:f>'机会输入'!E61</x:f>
        <x:v>0.8</x:v>
      </x:c>
      <x:c r="K136" s="251" t="n">
        <x:f>I136*J136</x:f>
        <x:v>15.687165542400002</x:v>
      </x:c>
      <x:c r="L136" s="251" t="n">
        <x:f>K136*'机会输入'!G4</x:f>
        <x:v>5.176764628992001</x:v>
      </x:c>
      <x:c r="M136" s="245"/>
    </x:row>
    <x:row r="137">
      <x:c r="A137" s="240" t="str">
        <x:v>2028E</x:v>
      </x:c>
      <x:c r="B137" s="240" t="str">
        <x:v>ELS透镜＋热沉</x:v>
      </x:c>
      <x:c r="C137" s="251" t="n">
        <x:f>$E$4*MAX(0,'机会输入'!$B$37)</x:f>
        <x:v>1194</x:v>
      </x:c>
      <x:c r="D137" s="251" t="n">
        <x:f>$C$8/$C$7</x:f>
        <x:v>4</x:v>
      </x:c>
      <x:c r="E137" s="251" t="n">
        <x:f>C137*10000*D137</x:f>
        <x:v>47760000</x:v>
      </x:c>
      <x:c r="F137" s="251" t="n">
        <x:f>('机会输入'!G26+'机会输入'!G27)*MAX(0,'机会输入'!$C$37)*'规格输入'!$E$7*MAX(0,'机会输入'!G5)</x:f>
        <x:v>50.688</x:v>
      </x:c>
      <x:c r="G137" s="250" t="n">
        <x:f>MAX(0,MIN(1,'机会输入'!G28*MAX(0,'机会输入'!$F$37)))</x:f>
        <x:v>0.47666666666666674</x:v>
      </x:c>
      <x:c r="H137" s="251" t="n">
        <x:f>E137*F137/100000000</x:f>
        <x:v>24.2085888</x:v>
      </x:c>
      <x:c r="I137" s="251" t="n">
        <x:f>H137*G137</x:f>
        <x:v>11.539427328000002</x:v>
      </x:c>
      <x:c r="J137" s="250" t="n">
        <x:f>'机会输入'!E62</x:f>
        <x:v>0.8</x:v>
      </x:c>
      <x:c r="K137" s="251" t="n">
        <x:f>I137*J137</x:f>
        <x:v>9.231541862400002</x:v>
      </x:c>
      <x:c r="L137" s="251" t="n">
        <x:f>K137*'机会输入'!G4</x:f>
        <x:v>3.046408814592001</x:v>
      </x:c>
      <x:c r="M137" s="245"/>
    </x:row>
    <x:row r="138">
      <x:c r="A138" s="240" t="str">
        <x:v>2028E</x:v>
      </x:c>
      <x:c r="B138" s="240" t="str">
        <x:v>FAU关键尺寸量测设备</x:v>
      </x:c>
      <x:c r="C138" s="251" t="n">
        <x:f>$E$4*MAX(0,'机会输入'!$B$37)</x:f>
        <x:v>1194</x:v>
      </x:c>
      <x:c r="D138" s="251" t="n">
        <x:f>$C$5/'规格输入'!$E$10</x:f>
        <x:v>0.001</x:v>
      </x:c>
      <x:c r="E138" s="251" t="n">
        <x:f>C138*10000*D138</x:f>
        <x:v>11940</x:v>
      </x:c>
      <x:c r="F138" s="251" t="n">
        <x:f>('机会输入'!G30)*MAX(0,'机会输入'!$C$37)*'规格输入'!$E$7</x:f>
        <x:v>70400</x:v>
      </x:c>
      <x:c r="G138" s="250" t="n">
        <x:f>MAX(0,MIN(1,'机会输入'!G31*MAX(0,'机会输入'!$F$37)))</x:f>
        <x:v>0.49500000000000005</x:v>
      </x:c>
      <x:c r="H138" s="251" t="n">
        <x:f>E138*F138/100000000</x:f>
        <x:v>8.40576</x:v>
      </x:c>
      <x:c r="I138" s="251" t="n">
        <x:f>H138*G138</x:f>
        <x:v>4.160851200000001</x:v>
      </x:c>
      <x:c r="J138" s="250" t="n">
        <x:f>'机会输入'!E63</x:f>
        <x:v>0.7</x:v>
      </x:c>
      <x:c r="K138" s="251" t="n">
        <x:f>I138*J138</x:f>
        <x:v>2.9125958400000003</x:v>
      </x:c>
      <x:c r="L138" s="251" t="n">
        <x:f>K138*'机会输入'!G4</x:f>
        <x:v>0.9611566272000002</x:v>
      </x:c>
      <x:c r="M138" s="245"/>
    </x:row>
    <x:row r="139">
      <x:c r="A139" s="197" t="str">
        <x:v>2028E</x:v>
      </x:c>
      <x:c r="B139" s="197" t="str">
        <x:v>独立参考合计</x:v>
      </x:c>
      <x:c r="C139" s="214"/>
      <x:c r="D139" s="214"/>
      <x:c r="E139" s="214"/>
      <x:c r="F139" s="214"/>
      <x:c r="G139" s="222"/>
      <x:c r="H139" s="214" t="n">
        <x:f>SUM(H132:H138)</x:f>
        <x:v>206.394630528</x:v>
      </x:c>
      <x:c r="I139" s="214" t="n">
        <x:f>SUM(I132:I138)</x:f>
        <x:v>88.83280669824</x:v>
      </x:c>
      <x:c r="J139" s="222"/>
      <x:c r="K139" s="214" t="n">
        <x:f>SUM(K132:K138)</x:f>
        <x:v>71.42247903859202</x:v>
      </x:c>
      <x:c r="L139" s="214" t="n">
        <x:f>SUM(L132:L138)</x:f>
        <x:v>23.569418082735368</x:v>
      </x:c>
      <x:c r="M139" s="245"/>
    </x:row>
    <x:row r="140">
      <x:c r="A140" s="240" t="str">
        <x:v>2029E</x:v>
      </x:c>
      <x:c r="B140" s="240" t="str">
        <x:v>800G可插拔透镜</x:v>
      </x:c>
      <x:c r="C140" s="251" t="n">
        <x:f>SUM('规格明细'!D172)</x:f>
        <x:v>3200</x:v>
      </x:c>
      <x:c r="D140" s="251" t="n">
        <x:f>IF(C140=0,0,SUM('规格明细'!G172)/C140/10000)</x:f>
        <x:v>10</x:v>
      </x:c>
      <x:c r="E140" s="251" t="n">
        <x:f>SUM('规格明细'!G172)</x:f>
        <x:v>320000000</x:v>
      </x:c>
      <x:c r="F140" s="251" t="n">
        <x:f>IF(E140=0,0,SUM('规格明细'!K172)*100000000/E140)</x:f>
        <x:v>3.2076000000000002</x:v>
      </x:c>
      <x:c r="G140" s="250" t="n">
        <x:f>IF(H140=0,0,SUM('规格明细'!L172)/H140)</x:f>
        <x:v>0.11000000000000003</x:v>
      </x:c>
      <x:c r="H140" s="251" t="n">
        <x:f>SUM('规格明细'!K172)</x:f>
        <x:v>10.264320000000001</x:v>
      </x:c>
      <x:c r="I140" s="251" t="n">
        <x:f>SUM('规格明细'!L172)</x:f>
        <x:v>1.1290752000000004</x:v>
      </x:c>
      <x:c r="J140" s="250" t="n">
        <x:f>'机会输入'!F57</x:f>
        <x:v>0.9</x:v>
      </x:c>
      <x:c r="K140" s="251" t="n">
        <x:f>I140*J140</x:f>
        <x:v>1.0161676800000004</x:v>
      </x:c>
      <x:c r="L140" s="251" t="n">
        <x:f>K140*'机会输入'!H4</x:f>
        <x:v>0.33533533440000013</x:v>
      </x:c>
      <x:c r="M140" s="245"/>
    </x:row>
    <x:row r="141">
      <x:c r="A141" s="240" t="str">
        <x:v>2029E</x:v>
      </x:c>
      <x:c r="B141" s="240" t="str">
        <x:v>1.6T可插拔透镜</x:v>
      </x:c>
      <x:c r="C141" s="251" t="n">
        <x:f>SUM('规格明细'!D173)</x:f>
        <x:v>14500</x:v>
      </x:c>
      <x:c r="D141" s="251" t="n">
        <x:f>IF(C141=0,0,SUM('规格明细'!G173)/C141/10000)</x:f>
        <x:v>10</x:v>
      </x:c>
      <x:c r="E141" s="251" t="n">
        <x:f>SUM('规格明细'!G173)</x:f>
        <x:v>1450000000</x:v>
      </x:c>
      <x:c r="F141" s="251" t="n">
        <x:f>IF(E141=0,0,SUM('规格明细'!K173)*100000000/E141)</x:f>
        <x:v>4.490639999999999</x:v>
      </x:c>
      <x:c r="G141" s="250" t="n">
        <x:f>IF(H141=0,0,SUM('规格明细'!L173)/H141)</x:f>
        <x:v>0.11000000000000001</x:v>
      </x:c>
      <x:c r="H141" s="251" t="n">
        <x:f>SUM('规格明细'!K173)</x:f>
        <x:v>65.11428</x:v>
      </x:c>
      <x:c r="I141" s="251" t="n">
        <x:f>SUM('规格明细'!L173)</x:f>
        <x:v>7.1625708</x:v>
      </x:c>
      <x:c r="J141" s="250" t="n">
        <x:f>'机会输入'!F58</x:f>
        <x:v>0.9</x:v>
      </x:c>
      <x:c r="K141" s="251" t="n">
        <x:f>I141*J141</x:f>
        <x:v>6.44631372</x:v>
      </x:c>
      <x:c r="L141" s="251" t="n">
        <x:f>K141*'机会输入'!H4</x:f>
        <x:v>2.1272835276</x:v>
      </x:c>
      <x:c r="M141" s="245"/>
    </x:row>
    <x:row r="142">
      <x:c r="A142" s="240" t="str">
        <x:v>2029E</x:v>
      </x:c>
      <x:c r="B142" s="240" t="str">
        <x:v>OCS NxN透镜阵列</x:v>
      </x:c>
      <x:c r="C142" s="251" t="n">
        <x:f>SUM('规格明细'!D174,'规格明细'!D175)</x:f>
        <x:v>32</x:v>
      </x:c>
      <x:c r="D142" s="251" t="n">
        <x:f>IF(C142=0,0,SUM('规格明细'!G174,'规格明细'!G175)/C142/10000)</x:f>
        <x:v>505.6</x:v>
      </x:c>
      <x:c r="E142" s="251" t="n">
        <x:f>SUM('规格明细'!G174,'规格明细'!G175)</x:f>
        <x:v>161792000</x:v>
      </x:c>
      <x:c r="F142" s="251" t="n">
        <x:f>IF(E142=0,0,SUM('规格明细'!K174,'规格明细'!K175)*100000000/E142)</x:f>
        <x:v>29.529113924050634</x:v>
      </x:c>
      <x:c r="G142" s="250" t="n">
        <x:f>IF(H142=0,0,SUM('规格明细'!L174,'规格明细'!L175)/H142)</x:f>
        <x:v>0.8196527777777779</x:v>
      </x:c>
      <x:c r="H142" s="251" t="n">
        <x:f>SUM('规格明细'!K174,'规格明细'!K175)</x:f>
        <x:v>47.775743999999996</x:v>
      </x:c>
      <x:c r="I142" s="251" t="n">
        <x:f>SUM('规格明细'!L174,'规格明细'!L175)</x:f>
        <x:v>39.15952128</x:v>
      </x:c>
      <x:c r="J142" s="250" t="n">
        <x:f>'机会输入'!F59</x:f>
        <x:v>0.8</x:v>
      </x:c>
      <x:c r="K142" s="251" t="n">
        <x:f>I142*J142</x:f>
        <x:v>31.327617024000002</x:v>
      </x:c>
      <x:c r="L142" s="251" t="n">
        <x:f>K142*'机会输入'!H4</x:f>
        <x:v>10.338113617920001</x:v>
      </x:c>
      <x:c r="M142" s="245"/>
    </x:row>
    <x:row r="143">
      <x:c r="A143" s="240" t="str">
        <x:v>2029E</x:v>
      </x:c>
      <x:c r="B143" s="240" t="str">
        <x:v>FAU V型槽</x:v>
      </x:c>
      <x:c r="C143" s="251" t="n">
        <x:f>$F$4*MAX(0,'机会输入'!$B$37)</x:f>
        <x:v>3818</x:v>
      </x:c>
      <x:c r="D143" s="251" t="n">
        <x:f>$C$5*$C$6</x:f>
        <x:v>36</x:v>
      </x:c>
      <x:c r="E143" s="251" t="n">
        <x:f>C143*10000*D143</x:f>
        <x:v>1374480000</x:v>
      </x:c>
      <x:c r="F143" s="251" t="n">
        <x:f>('机会输入'!H19)*MAX(0,'机会输入'!$C$37)*'规格输入'!$E$7*MAX(0,'机会输入'!H5)</x:f>
        <x:v>6.386688000000001</x:v>
      </x:c>
      <x:c r="G143" s="250" t="n">
        <x:f>MAX(0,MIN(1,'机会输入'!H20*MAX(0,'机会输入'!$G$37)))</x:f>
        <x:v>0.66</x:v>
      </x:c>
      <x:c r="H143" s="251" t="n">
        <x:f>E143*F143/100000000</x:f>
        <x:v>87.78374922240002</x:v>
      </x:c>
      <x:c r="I143" s="251" t="n">
        <x:f>H143*G143</x:f>
        <x:v>57.93727448678401</x:v>
      </x:c>
      <x:c r="J143" s="250" t="n">
        <x:f>'机会输入'!F60</x:f>
        <x:v>0.8</x:v>
      </x:c>
      <x:c r="K143" s="251" t="n">
        <x:f>I143*J143</x:f>
        <x:v>46.34981958942721</x:v>
      </x:c>
      <x:c r="L143" s="251" t="n">
        <x:f>K143*'机会输入'!H4</x:f>
        <x:v>15.295440464510982</x:v>
      </x:c>
      <x:c r="M143" s="245"/>
    </x:row>
    <x:row r="144">
      <x:c r="A144" s="240" t="str">
        <x:v>2029E</x:v>
      </x:c>
      <x:c r="B144" s="240" t="str">
        <x:v>FAU棱镜透镜阵列</x:v>
      </x:c>
      <x:c r="C144" s="251" t="n">
        <x:f>$F$4*MAX(0,'机会输入'!$B$37)</x:f>
        <x:v>3818</x:v>
      </x:c>
      <x:c r="D144" s="251" t="n">
        <x:f>$C$5*$C$6</x:f>
        <x:v>36</x:v>
      </x:c>
      <x:c r="E144" s="251" t="n">
        <x:f>C144*10000*D144</x:f>
        <x:v>1374480000</x:v>
      </x:c>
      <x:c r="F144" s="251" t="n">
        <x:f>('机会输入'!H23)*MAX(0,'机会输入'!$C$37)*'规格输入'!$E$7*MAX(0,'机会输入'!H5)</x:f>
        <x:v>9.123840000000001</x:v>
      </x:c>
      <x:c r="G144" s="250" t="n">
        <x:f>'机会输入'!H24</x:f>
        <x:v>0.45</x:v>
      </x:c>
      <x:c r="H144" s="251" t="n">
        <x:f>E144*F144/100000000</x:f>
        <x:v>125.40535603200003</x:v>
      </x:c>
      <x:c r="I144" s="251" t="n">
        <x:f>H144*G144</x:f>
        <x:v>56.432410214400015</x:v>
      </x:c>
      <x:c r="J144" s="250" t="n">
        <x:f>'机会输入'!F61</x:f>
        <x:v>0.8</x:v>
      </x:c>
      <x:c r="K144" s="251" t="n">
        <x:f>I144*J144</x:f>
        <x:v>45.14592817152001</x:v>
      </x:c>
      <x:c r="L144" s="251" t="n">
        <x:f>K144*'机会输入'!H4</x:f>
        <x:v>14.898156296601604</x:v>
      </x:c>
      <x:c r="M144" s="245"/>
    </x:row>
    <x:row r="145">
      <x:c r="A145" s="240" t="str">
        <x:v>2029E</x:v>
      </x:c>
      <x:c r="B145" s="240" t="str">
        <x:v>ELS透镜＋热沉</x:v>
      </x:c>
      <x:c r="C145" s="251" t="n">
        <x:f>$F$4*MAX(0,'机会输入'!$B$37)</x:f>
        <x:v>3818</x:v>
      </x:c>
      <x:c r="D145" s="251" t="n">
        <x:f>$C$8/$C$7</x:f>
        <x:v>4</x:v>
      </x:c>
      <x:c r="E145" s="251" t="n">
        <x:f>C145*10000*D145</x:f>
        <x:v>152720000</x:v>
      </x:c>
      <x:c r="F145" s="251" t="n">
        <x:f>('机会输入'!H26+'机会输入'!H27)*MAX(0,'机会输入'!$C$37)*'规格输入'!$E$7*MAX(0,'机会输入'!H5)</x:f>
        <x:v>45.619200000000006</x:v>
      </x:c>
      <x:c r="G145" s="250" t="n">
        <x:f>MAX(0,MIN(1,'机会输入'!H28*MAX(0,'机会输入'!$G$37)))</x:f>
        <x:v>0.45833333333333337</x:v>
      </x:c>
      <x:c r="H145" s="251" t="n">
        <x:f>E145*F145/100000000</x:f>
        <x:v>69.66964224000002</x:v>
      </x:c>
      <x:c r="I145" s="251" t="n">
        <x:f>H145*G145</x:f>
        <x:v>31.93191936000001</x:v>
      </x:c>
      <x:c r="J145" s="250" t="n">
        <x:f>'机会输入'!F62</x:f>
        <x:v>0.8</x:v>
      </x:c>
      <x:c r="K145" s="251" t="n">
        <x:f>I145*J145</x:f>
        <x:v>25.54553548800001</x:v>
      </x:c>
      <x:c r="L145" s="251" t="n">
        <x:f>K145*'机会输入'!H4</x:f>
        <x:v>8.430026711040004</x:v>
      </x:c>
      <x:c r="M145" s="245"/>
    </x:row>
    <x:row r="146">
      <x:c r="A146" s="240" t="str">
        <x:v>2029E</x:v>
      </x:c>
      <x:c r="B146" s="240" t="str">
        <x:v>FAU关键尺寸量测设备</x:v>
      </x:c>
      <x:c r="C146" s="251" t="n">
        <x:f>$F$4*MAX(0,'机会输入'!$B$37)</x:f>
        <x:v>3818</x:v>
      </x:c>
      <x:c r="D146" s="251" t="n">
        <x:f>$C$5/'规格输入'!$E$10</x:f>
        <x:v>0.001</x:v>
      </x:c>
      <x:c r="E146" s="251" t="n">
        <x:f>C146*10000*D146</x:f>
        <x:v>38180</x:v>
      </x:c>
      <x:c r="F146" s="251" t="n">
        <x:f>('机会输入'!H30)*MAX(0,'机会输入'!$C$37)*'规格输入'!$E$7</x:f>
        <x:v>70400</x:v>
      </x:c>
      <x:c r="G146" s="250" t="n">
        <x:f>MAX(0,MIN(1,'机会输入'!H31*MAX(0,'机会输入'!$G$37)))</x:f>
        <x:v>0.55</x:v>
      </x:c>
      <x:c r="H146" s="251" t="n">
        <x:f>E146*F146/100000000</x:f>
        <x:v>26.87872</x:v>
      </x:c>
      <x:c r="I146" s="251" t="n">
        <x:f>H146*G146</x:f>
        <x:v>14.783296000000002</x:v>
      </x:c>
      <x:c r="J146" s="250" t="n">
        <x:f>'机会输入'!F63</x:f>
        <x:v>0.7</x:v>
      </x:c>
      <x:c r="K146" s="251" t="n">
        <x:f>I146*J146</x:f>
        <x:v>10.3483072</x:v>
      </x:c>
      <x:c r="L146" s="251" t="n">
        <x:f>K146*'机会输入'!H4</x:f>
        <x:v>3.4149413760000003</x:v>
      </x:c>
      <x:c r="M146" s="245"/>
    </x:row>
    <x:row r="147">
      <x:c r="A147" s="197" t="str">
        <x:v>2029E</x:v>
      </x:c>
      <x:c r="B147" s="197" t="str">
        <x:v>独立参考合计</x:v>
      </x:c>
      <x:c r="C147" s="214"/>
      <x:c r="D147" s="214"/>
      <x:c r="E147" s="214"/>
      <x:c r="F147" s="214"/>
      <x:c r="G147" s="222"/>
      <x:c r="H147" s="214" t="n">
        <x:f>SUM(H140:H146)</x:f>
        <x:v>432.89181149440003</x:v>
      </x:c>
      <x:c r="I147" s="214" t="n">
        <x:f>SUM(I140:I146)</x:f>
        <x:v>208.53606734118404</x:v>
      </x:c>
      <x:c r="J147" s="222"/>
      <x:c r="K147" s="214" t="n">
        <x:f>SUM(K140:K146)</x:f>
        <x:v>166.17968887294722</x:v>
      </x:c>
      <x:c r="L147" s="214" t="n">
        <x:f>SUM(L140:L146)</x:f>
        <x:v>54.83929732807259</x:v>
      </x:c>
      <x:c r="M147" s="245"/>
    </x:row>
    <x:row r="148">
      <x:c r="A148" s="240" t="str">
        <x:v>2030E</x:v>
      </x:c>
      <x:c r="B148" s="240" t="str">
        <x:v>800G可插拔透镜</x:v>
      </x:c>
      <x:c r="C148" s="251" t="n">
        <x:f>SUM('规格明细'!D184)</x:f>
        <x:v>1800</x:v>
      </x:c>
      <x:c r="D148" s="251" t="n">
        <x:f>IF(C148=0,0,SUM('规格明细'!G184)/C148/10000)</x:f>
        <x:v>10</x:v>
      </x:c>
      <x:c r="E148" s="251" t="n">
        <x:f>SUM('规格明细'!G184)</x:f>
        <x:v>180000000</x:v>
      </x:c>
      <x:c r="F148" s="251" t="n">
        <x:f>IF(E148=0,0,SUM('规格明细'!K184)*100000000/E148)</x:f>
        <x:v>2.8868400000000003</x:v>
      </x:c>
      <x:c r="G148" s="250" t="n">
        <x:f>IF(H148=0,0,SUM('规格明细'!L184)/H148)</x:f>
        <x:v>0.11</x:v>
      </x:c>
      <x:c r="H148" s="251" t="n">
        <x:f>SUM('规格明细'!K184)</x:f>
        <x:v>5.196312000000001</x:v>
      </x:c>
      <x:c r="I148" s="251" t="n">
        <x:f>SUM('规格明细'!L184)</x:f>
        <x:v>0.5715943200000001</x:v>
      </x:c>
      <x:c r="J148" s="250" t="n">
        <x:f>'机会输入'!G57</x:f>
        <x:v>0.9</x:v>
      </x:c>
      <x:c r="K148" s="251" t="n">
        <x:f>I148*J148</x:f>
        <x:v>0.5144348880000001</x:v>
      </x:c>
      <x:c r="L148" s="251" t="n">
        <x:f>K148*'机会输入'!I4</x:f>
        <x:v>0.16976351304000006</x:v>
      </x:c>
      <x:c r="M148" s="245"/>
    </x:row>
    <x:row r="149">
      <x:c r="A149" s="240" t="str">
        <x:v>2030E</x:v>
      </x:c>
      <x:c r="B149" s="240" t="str">
        <x:v>1.6T可插拔透镜</x:v>
      </x:c>
      <x:c r="C149" s="251" t="n">
        <x:f>SUM('规格明细'!D185)</x:f>
        <x:v>16000</x:v>
      </x:c>
      <x:c r="D149" s="251" t="n">
        <x:f>IF(C149=0,0,SUM('规格明细'!G185)/C149/10000)</x:f>
        <x:v>10</x:v>
      </x:c>
      <x:c r="E149" s="251" t="n">
        <x:f>SUM('规格明细'!G185)</x:f>
        <x:v>1600000000</x:v>
      </x:c>
      <x:c r="F149" s="251" t="n">
        <x:f>IF(E149=0,0,SUM('规格明细'!K185)*100000000/E149)</x:f>
        <x:v>4.041576</x:v>
      </x:c>
      <x:c r="G149" s="250" t="n">
        <x:f>IF(H149=0,0,SUM('规格明细'!L185)/H149)</x:f>
        <x:v>0.11000000000000001</x:v>
      </x:c>
      <x:c r="H149" s="251" t="n">
        <x:f>SUM('规格明细'!K185)</x:f>
        <x:v>64.665216</x:v>
      </x:c>
      <x:c r="I149" s="251" t="n">
        <x:f>SUM('规格明细'!L185)</x:f>
        <x:v>7.113173760000001</x:v>
      </x:c>
      <x:c r="J149" s="250" t="n">
        <x:f>'机会输入'!G58</x:f>
        <x:v>0.9</x:v>
      </x:c>
      <x:c r="K149" s="251" t="n">
        <x:f>I149*J149</x:f>
        <x:v>6.401856384000001</x:v>
      </x:c>
      <x:c r="L149" s="251" t="n">
        <x:f>K149*'机会输入'!I4</x:f>
        <x:v>2.1126126067200004</x:v>
      </x:c>
      <x:c r="M149" s="245"/>
    </x:row>
    <x:row r="150">
      <x:c r="A150" s="240" t="str">
        <x:v>2030E</x:v>
      </x:c>
      <x:c r="B150" s="240" t="str">
        <x:v>OCS NxN透镜阵列</x:v>
      </x:c>
      <x:c r="C150" s="251" t="n">
        <x:f>SUM('规格明细'!D186,'规格明细'!D187)</x:f>
        <x:v>45</x:v>
      </x:c>
      <x:c r="D150" s="251" t="n">
        <x:f>IF(C150=0,0,SUM('规格明细'!G186,'规格明细'!G187)/C150/10000)</x:f>
        <x:v>544</x:v>
      </x:c>
      <x:c r="E150" s="251" t="n">
        <x:f>SUM('规格明细'!G186,'规格明细'!G187)</x:f>
        <x:v>244800000</x:v>
      </x:c>
      <x:c r="F150" s="251" t="n">
        <x:f>IF(E150=0,0,SUM('规格明细'!K186,'规格明细'!K187)*100000000/E150)</x:f>
        <x:v>27.44470588235295</x:v>
      </x:c>
      <x:c r="G150" s="250" t="n">
        <x:f>IF(H150=0,0,SUM('规格明细'!L186,'规格明细'!L187)/H150)</x:f>
        <x:v>0.7115625</x:v>
      </x:c>
      <x:c r="H150" s="251" t="n">
        <x:f>SUM('规格明细'!K186,'规格明细'!K187)</x:f>
        <x:v>67.18464000000002</x:v>
      </x:c>
      <x:c r="I150" s="251" t="n">
        <x:f>SUM('规格明细'!L186,'规格明细'!L187)</x:f>
        <x:v>47.80607040000001</x:v>
      </x:c>
      <x:c r="J150" s="250" t="n">
        <x:f>'机会输入'!G59</x:f>
        <x:v>0.8</x:v>
      </x:c>
      <x:c r="K150" s="251" t="n">
        <x:f>I150*J150</x:f>
        <x:v>38.24485632000001</x:v>
      </x:c>
      <x:c r="L150" s="251" t="n">
        <x:f>K150*'机会输入'!I4</x:f>
        <x:v>12.620802585600003</x:v>
      </x:c>
      <x:c r="M150" s="245"/>
    </x:row>
    <x:row r="151">
      <x:c r="A151" s="240" t="str">
        <x:v>2030E</x:v>
      </x:c>
      <x:c r="B151" s="240" t="str">
        <x:v>FAU V型槽</x:v>
      </x:c>
      <x:c r="C151" s="251" t="n">
        <x:f>$G$4*MAX(0,'机会输入'!$B$37)</x:f>
        <x:v>8922</x:v>
      </x:c>
      <x:c r="D151" s="251" t="n">
        <x:f>$C$5*$C$6</x:f>
        <x:v>36</x:v>
      </x:c>
      <x:c r="E151" s="251" t="n">
        <x:f>C151*10000*D151</x:f>
        <x:v>3211920000</x:v>
      </x:c>
      <x:c r="F151" s="251" t="n">
        <x:f>('机会输入'!I19)*MAX(0,'机会输入'!$C$37)*'规格输入'!$E$7*MAX(0,'机会输入'!I5)</x:f>
        <x:v>5.748019200000002</x:v>
      </x:c>
      <x:c r="G151" s="250" t="n">
        <x:f>MAX(0,MIN(1,'机会输入'!I20*MAX(0,'机会输入'!$H$37)))</x:f>
        <x:v>0.7150000000000001</x:v>
      </x:c>
      <x:c r="H151" s="251" t="n">
        <x:f>E151*F151/100000000</x:f>
        <x:v>184.62177828864006</x:v>
      </x:c>
      <x:c r="I151" s="251" t="n">
        <x:f>H151*G151</x:f>
        <x:v>132.00457147637766</x:v>
      </x:c>
      <x:c r="J151" s="250" t="n">
        <x:f>'机会输入'!G60</x:f>
        <x:v>0.8</x:v>
      </x:c>
      <x:c r="K151" s="251" t="n">
        <x:f>I151*J151</x:f>
        <x:v>105.60365718110214</x:v>
      </x:c>
      <x:c r="L151" s="251" t="n">
        <x:f>K151*'机会输入'!I4</x:f>
        <x:v>34.849206869763705</x:v>
      </x:c>
      <x:c r="M151" s="245"/>
    </x:row>
    <x:row r="152">
      <x:c r="A152" s="240" t="str">
        <x:v>2030E</x:v>
      </x:c>
      <x:c r="B152" s="240" t="str">
        <x:v>FAU棱镜透镜阵列</x:v>
      </x:c>
      <x:c r="C152" s="251" t="n">
        <x:f>$G$4*MAX(0,'机会输入'!$B$37)</x:f>
        <x:v>8922</x:v>
      </x:c>
      <x:c r="D152" s="251" t="n">
        <x:f>$C$5*$C$6</x:f>
        <x:v>36</x:v>
      </x:c>
      <x:c r="E152" s="251" t="n">
        <x:f>C152*10000*D152</x:f>
        <x:v>3211920000</x:v>
      </x:c>
      <x:c r="F152" s="251" t="n">
        <x:f>('机会输入'!I23)*MAX(0,'机会输入'!$C$37)*'规格输入'!$E$7*MAX(0,'机会输入'!I5)</x:f>
        <x:v>8.211456000000002</x:v>
      </x:c>
      <x:c r="G152" s="250" t="n">
        <x:f>'机会输入'!I24</x:f>
        <x:v>0.45</x:v>
      </x:c>
      <x:c r="H152" s="251" t="n">
        <x:f>E152*F152/100000000</x:f>
        <x:v>263.74539755520004</x:v>
      </x:c>
      <x:c r="I152" s="251" t="n">
        <x:f>H152*G152</x:f>
        <x:v>118.68542889984002</x:v>
      </x:c>
      <x:c r="J152" s="250" t="n">
        <x:f>'机会输入'!G61</x:f>
        <x:v>0.8</x:v>
      </x:c>
      <x:c r="K152" s="251" t="n">
        <x:f>I152*J152</x:f>
        <x:v>94.94834311987202</x:v>
      </x:c>
      <x:c r="L152" s="251" t="n">
        <x:f>K152*'机会输入'!I4</x:f>
        <x:v>31.33295322955777</x:v>
      </x:c>
      <x:c r="M152" s="245"/>
    </x:row>
    <x:row r="153">
      <x:c r="A153" s="240" t="str">
        <x:v>2030E</x:v>
      </x:c>
      <x:c r="B153" s="240" t="str">
        <x:v>ELS透镜＋热沉</x:v>
      </x:c>
      <x:c r="C153" s="251" t="n">
        <x:f>$G$4*MAX(0,'机会输入'!$B$37)</x:f>
        <x:v>8922</x:v>
      </x:c>
      <x:c r="D153" s="251" t="n">
        <x:f>$C$8/$C$7</x:f>
        <x:v>4</x:v>
      </x:c>
      <x:c r="E153" s="251" t="n">
        <x:f>C153*10000*D153</x:f>
        <x:v>356880000</x:v>
      </x:c>
      <x:c r="F153" s="251" t="n">
        <x:f>('机会输入'!I26+'机会输入'!I27)*MAX(0,'机会输入'!$C$37)*'规格输入'!$E$7*MAX(0,'机会输入'!I5)</x:f>
        <x:v>41.057280000000006</x:v>
      </x:c>
      <x:c r="G153" s="250" t="n">
        <x:f>MAX(0,MIN(1,'机会输入'!I28*MAX(0,'机会输入'!$H$37)))</x:f>
        <x:v>0.44000000000000006</x:v>
      </x:c>
      <x:c r="H153" s="251" t="n">
        <x:f>E153*F153/100000000</x:f>
        <x:v>146.525220864</x:v>
      </x:c>
      <x:c r="I153" s="251" t="n">
        <x:f>H153*G153</x:f>
        <x:v>64.47109718016002</x:v>
      </x:c>
      <x:c r="J153" s="250" t="n">
        <x:f>'机会输入'!G62</x:f>
        <x:v>0.8</x:v>
      </x:c>
      <x:c r="K153" s="251" t="n">
        <x:f>I153*J153</x:f>
        <x:v>51.57687774412801</x:v>
      </x:c>
      <x:c r="L153" s="251" t="n">
        <x:f>K153*'机会输入'!I4</x:f>
        <x:v>17.020369655562245</x:v>
      </x:c>
      <x:c r="M153" s="245"/>
    </x:row>
    <x:row r="154">
      <x:c r="A154" s="240" t="str">
        <x:v>2030E</x:v>
      </x:c>
      <x:c r="B154" s="240" t="str">
        <x:v>FAU关键尺寸量测设备</x:v>
      </x:c>
      <x:c r="C154" s="251" t="n">
        <x:f>$G$4*MAX(0,'机会输入'!$B$37)</x:f>
        <x:v>8922</x:v>
      </x:c>
      <x:c r="D154" s="251" t="n">
        <x:f>$C$5/'规格输入'!$E$10</x:f>
        <x:v>0.001</x:v>
      </x:c>
      <x:c r="E154" s="251" t="n">
        <x:f>C154*10000*D154</x:f>
        <x:v>89220</x:v>
      </x:c>
      <x:c r="F154" s="251" t="n">
        <x:f>('机会输入'!I30)*MAX(0,'机会输入'!$C$37)*'规格输入'!$E$7</x:f>
        <x:v>70400</x:v>
      </x:c>
      <x:c r="G154" s="250" t="n">
        <x:f>MAX(0,MIN(1,'机会输入'!I31*MAX(0,'机会输入'!$H$37)))</x:f>
        <x:v>0.6050000000000001</x:v>
      </x:c>
      <x:c r="H154" s="251" t="n">
        <x:f>E154*F154/100000000</x:f>
        <x:v>62.81088</x:v>
      </x:c>
      <x:c r="I154" s="251" t="n">
        <x:f>H154*G154</x:f>
        <x:v>38.000582400000006</x:v>
      </x:c>
      <x:c r="J154" s="250" t="n">
        <x:f>'机会输入'!G63</x:f>
        <x:v>0.7</x:v>
      </x:c>
      <x:c r="K154" s="251" t="n">
        <x:f>I154*J154</x:f>
        <x:v>26.600407680000004</x:v>
      </x:c>
      <x:c r="L154" s="251" t="n">
        <x:f>K154*'机会输入'!I4</x:f>
        <x:v>8.778134534400001</x:v>
      </x:c>
      <x:c r="M154" s="245"/>
    </x:row>
    <x:row r="155">
      <x:c r="A155" s="197" t="str">
        <x:v>2030E</x:v>
      </x:c>
      <x:c r="B155" s="197" t="str">
        <x:v>独立参考合计</x:v>
      </x:c>
      <x:c r="C155" s="214"/>
      <x:c r="D155" s="214"/>
      <x:c r="E155" s="214"/>
      <x:c r="F155" s="214"/>
      <x:c r="G155" s="222"/>
      <x:c r="H155" s="214" t="n">
        <x:f>SUM(H148:H154)</x:f>
        <x:v>794.7494447078402</x:v>
      </x:c>
      <x:c r="I155" s="214" t="n">
        <x:f>SUM(I148:I154)</x:f>
        <x:v>408.6525184363777</x:v>
      </x:c>
      <x:c r="J155" s="222"/>
      <x:c r="K155" s="214" t="n">
        <x:f>SUM(K148:K154)</x:f>
        <x:v>323.8904333171022</x:v>
      </x:c>
      <x:c r="L155" s="214" t="n">
        <x:f>SUM(L148:L154)</x:f>
        <x:v>106.88384299464373</x:v>
      </x:c>
      <x:c r="M155" s="245"/>
    </x:row>
    <x:row r="156">
      <x:c r="A156" s="245"/>
      <x:c r="B156" s="245"/>
      <x:c r="C156" s="245"/>
      <x:c r="D156" s="245"/>
      <x:c r="E156" s="245"/>
      <x:c r="F156" s="245"/>
      <x:c r="G156" s="245"/>
      <x:c r="H156" s="245"/>
      <x:c r="I156" s="245"/>
      <x:c r="J156" s="245"/>
      <x:c r="K156" s="245"/>
      <x:c r="L156" s="245"/>
      <x:c r="M156" s="245"/>
    </x:row>
    <x:row r="157">
      <x:c r="A157" s="245"/>
      <x:c r="B157" s="245"/>
      <x:c r="C157" s="245"/>
      <x:c r="D157" s="245"/>
      <x:c r="E157" s="245"/>
      <x:c r="F157" s="245"/>
      <x:c r="G157" s="245"/>
      <x:c r="H157" s="245"/>
      <x:c r="I157" s="245"/>
      <x:c r="J157" s="245"/>
      <x:c r="K157" s="245"/>
      <x:c r="L157" s="245"/>
      <x:c r="M157" s="245"/>
    </x:row>
    <x:row r="158">
      <x:c r="A158" s="245"/>
      <x:c r="B158" s="245"/>
      <x:c r="C158" s="245"/>
      <x:c r="D158" s="245"/>
      <x:c r="E158" s="245"/>
      <x:c r="F158" s="245"/>
      <x:c r="G158" s="245"/>
      <x:c r="H158" s="245"/>
      <x:c r="I158" s="245"/>
      <x:c r="J158" s="245"/>
      <x:c r="K158" s="245"/>
      <x:c r="L158" s="245"/>
      <x:c r="M158" s="245"/>
    </x:row>
    <x:row r="159">
      <x:c r="A159" s="245"/>
      <x:c r="B159" s="245"/>
      <x:c r="C159" s="245"/>
      <x:c r="D159" s="245"/>
      <x:c r="E159" s="245"/>
      <x:c r="F159" s="245"/>
      <x:c r="G159" s="245"/>
      <x:c r="H159" s="245"/>
      <x:c r="I159" s="245"/>
      <x:c r="J159" s="245"/>
      <x:c r="K159" s="245"/>
      <x:c r="L159" s="245"/>
      <x:c r="M159" s="245"/>
    </x:row>
    <x:row r="160">
      <x:c r="A160" s="245"/>
      <x:c r="B160" s="245"/>
      <x:c r="C160" s="245"/>
      <x:c r="D160" s="245"/>
      <x:c r="E160" s="245"/>
      <x:c r="F160" s="245"/>
      <x:c r="G160" s="245"/>
      <x:c r="H160" s="245"/>
      <x:c r="I160" s="245"/>
      <x:c r="J160" s="245"/>
      <x:c r="K160" s="245"/>
      <x:c r="L160" s="245"/>
      <x:c r="M160" s="245"/>
    </x:row>
    <x:row r="161">
      <x:c r="A161" s="245"/>
      <x:c r="B161" s="245"/>
      <x:c r="C161" s="245"/>
      <x:c r="D161" s="245"/>
      <x:c r="E161" s="245"/>
      <x:c r="F161" s="245"/>
      <x:c r="G161" s="245"/>
      <x:c r="H161" s="245"/>
      <x:c r="I161" s="245"/>
      <x:c r="J161" s="245"/>
      <x:c r="K161" s="245"/>
      <x:c r="L161" s="245"/>
      <x:c r="M161" s="245"/>
    </x:row>
    <x:row r="162">
      <x:c r="A162" s="245"/>
      <x:c r="B162" s="245"/>
      <x:c r="C162" s="245"/>
      <x:c r="D162" s="245"/>
      <x:c r="E162" s="245"/>
      <x:c r="F162" s="245"/>
      <x:c r="G162" s="245"/>
      <x:c r="H162" s="245"/>
      <x:c r="I162" s="245"/>
      <x:c r="J162" s="245"/>
      <x:c r="K162" s="245"/>
      <x:c r="L162" s="245"/>
      <x:c r="M162" s="245"/>
    </x:row>
    <x:row r="163">
      <x:c r="A163" s="245"/>
      <x:c r="B163" s="245"/>
      <x:c r="C163" s="245"/>
      <x:c r="D163" s="245"/>
      <x:c r="E163" s="245"/>
      <x:c r="F163" s="245"/>
      <x:c r="G163" s="245"/>
      <x:c r="H163" s="245"/>
      <x:c r="I163" s="245"/>
      <x:c r="J163" s="245"/>
      <x:c r="K163" s="245"/>
      <x:c r="L163" s="245"/>
      <x:c r="M163" s="245"/>
    </x:row>
    <x:row r="164">
      <x:c r="A164" s="176" t="str">
        <x:v>情景</x:v>
      </x:c>
      <x:c r="B164" s="176" t="str">
        <x:v>年度</x:v>
      </x:c>
      <x:c r="C164" s="176" t="str">
        <x:v>主模型理论收入</x:v>
      </x:c>
      <x:c r="D164" s="176" t="str">
        <x:v>参考法理论收入</x:v>
      </x:c>
      <x:c r="E164" s="176" t="str">
        <x:v>差额</x:v>
      </x:c>
      <x:c r="F164" s="176" t="str">
        <x:v>主模型光通信兑现</x:v>
      </x:c>
      <x:c r="G164" s="176" t="str">
        <x:v>参考法兑现</x:v>
      </x:c>
      <x:c r="H164" s="176" t="str">
        <x:v>差额</x:v>
      </x:c>
      <x:c r="I164" s="176" t="str">
        <x:v>边界</x:v>
      </x:c>
      <x:c r="J164" s="245"/>
      <x:c r="K164" s="245"/>
      <x:c r="L164" s="245"/>
      <x:c r="M164" s="245"/>
    </x:row>
    <x:row r="165">
      <x:c r="A165" s="240" t="str">
        <x:v>审慎情形</x:v>
      </x:c>
      <x:c r="B165" s="240" t="str">
        <x:v>2026E</x:v>
      </x:c>
      <x:c r="C165" s="251" t="n">
        <x:f>'机会模型'!E12</x:f>
        <x:v>4.628985920000001</x:v>
      </x:c>
      <x:c r="D165" s="251" t="n">
        <x:f>I33</x:f>
        <x:v>4.628985920000001</x:v>
      </x:c>
      <x:c r="E165" s="251" t="n">
        <x:f>D165-C165</x:f>
        <x:v>0</x:v>
      </x:c>
      <x:c r="F165" s="251" t="n">
        <x:f>'机会模型'!E5*'机会输入'!C43+'机会模型'!E6*'机会输入'!C44+'机会模型'!E7*'机会输入'!C45+'机会模型'!E8*'机会输入'!C46+'机会模型'!E9*'机会输入'!C47+'机会模型'!E10*'机会输入'!C48+'机会模型'!E11*'机会输入'!C49</x:f>
        <x:v>2.8434633600000003</x:v>
      </x:c>
      <x:c r="G165" s="251" t="n">
        <x:f>K33</x:f>
        <x:v>2.8434633600000003</x:v>
      </x:c>
      <x:c r="H165" s="251" t="n">
        <x:f>G165-F165</x:f>
        <x:v>0</x:v>
      </x:c>
      <x:c r="I165" s="240" t="str">
        <x:v>参考收入不与主预测相加</x:v>
      </x:c>
      <x:c r="J165" s="245"/>
      <x:c r="K165" s="245"/>
      <x:c r="L165" s="245"/>
      <x:c r="M165" s="245"/>
    </x:row>
    <x:row r="166">
      <x:c r="A166" s="240" t="str">
        <x:v>审慎情形</x:v>
      </x:c>
      <x:c r="B166" s="240" t="str">
        <x:v>2027E</x:v>
      </x:c>
      <x:c r="C166" s="251" t="n">
        <x:f>'机会模型'!F12</x:f>
        <x:v>31.27924373333333</x:v>
      </x:c>
      <x:c r="D166" s="251" t="n">
        <x:f>I41</x:f>
        <x:v>23.536165333333333</x:v>
      </x:c>
      <x:c r="E166" s="251" t="n">
        <x:f>D166-C166</x:f>
        <x:v>-7.743078399999998</x:v>
      </x:c>
      <x:c r="F166" s="251" t="n">
        <x:f>'机会模型'!F5*'机会输入'!D43+'机会模型'!F6*'机会输入'!D44+'机会模型'!F7*'机会输入'!D45+'机会模型'!F8*'机会输入'!D46+'机会模型'!F9*'机会输入'!D47+'机会模型'!F10*'机会输入'!D48+'机会模型'!F11*'机会输入'!D49</x:f>
        <x:v>23.169709546666667</x:v>
      </x:c>
      <x:c r="G166" s="251" t="n">
        <x:f>K41</x:f>
        <x:v>17.819186666666667</x:v>
      </x:c>
      <x:c r="H166" s="251" t="n">
        <x:f>G166-F166</x:f>
        <x:v>-5.35052288</x:v>
      </x:c>
      <x:c r="I166" s="240" t="str">
        <x:v>参考收入不与主预测相加</x:v>
      </x:c>
      <x:c r="J166" s="245"/>
      <x:c r="K166" s="245"/>
      <x:c r="L166" s="245"/>
      <x:c r="M166" s="245"/>
    </x:row>
    <x:row r="167">
      <x:c r="A167" s="240" t="str">
        <x:v>审慎情形</x:v>
      </x:c>
      <x:c r="B167" s="240" t="str">
        <x:v>2028E</x:v>
      </x:c>
      <x:c r="C167" s="251" t="n">
        <x:f>'机会模型'!G12</x:f>
        <x:v>89.2821387856</x:v>
      </x:c>
      <x:c r="D167" s="251" t="n">
        <x:f>I49</x:f>
        <x:v>52.83652790304</x:v>
      </x:c>
      <x:c r="E167" s="251" t="n">
        <x:f>D167-C167</x:f>
        <x:v>-36.44561088256</x:v>
      </x:c>
      <x:c r="F167" s="251" t="n">
        <x:f>'机会模型'!G5*'机会输入'!E43+'机会模型'!G6*'机会输入'!E44+'机会模型'!G7*'机会输入'!E45+'机会模型'!G8*'机会输入'!E46+'机会模型'!G9*'机会输入'!E47+'机会模型'!G10*'机会输入'!E48+'机会模型'!G11*'机会输入'!E49</x:f>
        <x:v>71.50215152848001</x:v>
      </x:c>
      <x:c r="G167" s="251" t="n">
        <x:f>K49</x:f>
        <x:v>42.481932102432</x:v>
      </x:c>
      <x:c r="H167" s="251" t="n">
        <x:f>G167-F167</x:f>
        <x:v>-29.020219426048016</x:v>
      </x:c>
      <x:c r="I167" s="240" t="str">
        <x:v>参考收入不与主预测相加</x:v>
      </x:c>
      <x:c r="J167" s="245"/>
      <x:c r="K167" s="245"/>
      <x:c r="L167" s="245"/>
      <x:c r="M167" s="245"/>
    </x:row>
    <x:row r="168">
      <x:c r="A168" s="240" t="str">
        <x:v>审慎情形</x:v>
      </x:c>
      <x:c r="B168" s="240" t="str">
        <x:v>2029E</x:v>
      </x:c>
      <x:c r="C168" s="251" t="n">
        <x:f>'机会模型'!H12</x:f>
        <x:v>167.297791748544</x:v>
      </x:c>
      <x:c r="D168" s="251" t="n">
        <x:f>I57</x:f>
        <x:v>134.237457118656</x:v>
      </x:c>
      <x:c r="E168" s="251" t="n">
        <x:f>D168-C168</x:f>
        <x:v>-33.06033462988799</x:v>
      </x:c>
      <x:c r="F168" s="251" t="n">
        <x:f>'机会模型'!H5*'机会输入'!F43+'机会模型'!H6*'机会输入'!F44+'机会模型'!H7*'机会输入'!F45+'机会模型'!H8*'机会输入'!F46+'机会模型'!H9*'机会输入'!F47+'机会模型'!H10*'机会输入'!F48+'机会模型'!H11*'机会输入'!F49</x:f>
        <x:v>133.5342988988352</x:v>
      </x:c>
      <x:c r="G168" s="251" t="n">
        <x:f>K57</x:f>
        <x:v>106.97954319492482</x:v>
      </x:c>
      <x:c r="H168" s="251" t="n">
        <x:f>G168-F168</x:f>
        <x:v>-26.554755703910388</x:v>
      </x:c>
      <x:c r="I168" s="240" t="str">
        <x:v>参考收入不与主预测相加</x:v>
      </x:c>
      <x:c r="J168" s="245"/>
      <x:c r="K168" s="245"/>
      <x:c r="L168" s="245"/>
      <x:c r="M168" s="245"/>
    </x:row>
    <x:row r="169">
      <x:c r="A169" s="240" t="str">
        <x:v>审慎情形</x:v>
      </x:c>
      <x:c r="B169" s="240" t="str">
        <x:v>2030E</x:v>
      </x:c>
      <x:c r="C169" s="251" t="n">
        <x:f>'机会模型'!I12</x:f>
        <x:v>236.30906327189766</x:v>
      </x:c>
      <x:c r="D169" s="251" t="n">
        <x:f>I65</x:f>
        <x:v>268.2817037011584</x:v>
      </x:c>
      <x:c r="E169" s="251" t="n">
        <x:f>D169-C169</x:f>
        <x:v>31.972640429260736</x:v>
      </x:c>
      <x:c r="F169" s="251" t="n">
        <x:f>'机会模型'!I5*'机会输入'!G43+'机会模型'!I6*'机会输入'!G44+'机会模型'!I7*'机会输入'!G45+'机会模型'!I8*'机会输入'!G46+'机会模型'!I9*'机会输入'!G47+'机会模型'!I10*'机会输入'!G48+'机会模型'!I11*'机会输入'!G49</x:f>
        <x:v>188.19826034951814</x:v>
      </x:c>
      <x:c r="G169" s="251" t="n">
        <x:f>K65</x:f>
        <x:v>212.70870197292675</x:v>
      </x:c>
      <x:c r="H169" s="251" t="n">
        <x:f>G169-F169</x:f>
        <x:v>24.51044162340861</x:v>
      </x:c>
      <x:c r="I169" s="240" t="str">
        <x:v>参考收入不与主预测相加</x:v>
      </x:c>
      <x:c r="J169" s="245"/>
      <x:c r="K169" s="245"/>
      <x:c r="L169" s="245"/>
      <x:c r="M169" s="245"/>
    </x:row>
    <x:row r="170">
      <x:c r="A170" s="240" t="str">
        <x:v>基准情形</x:v>
      </x:c>
      <x:c r="B170" s="240" t="str">
        <x:v>2026E</x:v>
      </x:c>
      <x:c r="C170" s="251" t="n">
        <x:f>'机会模型'!K12</x:f>
        <x:v>6.2586368000000006</x:v>
      </x:c>
      <x:c r="D170" s="251" t="n">
        <x:f>I78</x:f>
        <x:v>6.2586368000000006</x:v>
      </x:c>
      <x:c r="E170" s="251" t="n">
        <x:f>D170-C170</x:f>
        <x:v>0</x:v>
      </x:c>
      <x:c r="F170" s="251" t="n">
        <x:f>'机会模型'!K5*'机会输入'!C50+'机会模型'!K6*'机会输入'!C51+'机会模型'!K7*'机会输入'!C52+'机会模型'!K8*'机会输入'!C53+'机会模型'!K9*'机会输入'!C54+'机会模型'!K10*'机会输入'!C55+'机会模型'!K11*'机会输入'!C56</x:f>
        <x:v>3.8854143999999997</x:v>
      </x:c>
      <x:c r="G170" s="251" t="n">
        <x:f>K78</x:f>
        <x:v>3.8854143999999997</x:v>
      </x:c>
      <x:c r="H170" s="251" t="n">
        <x:f>G170-F170</x:f>
        <x:v>0</x:v>
      </x:c>
      <x:c r="I170" s="240" t="str">
        <x:v>参考收入不与主预测相加</x:v>
      </x:c>
      <x:c r="J170" s="245"/>
      <x:c r="K170" s="245"/>
      <x:c r="L170" s="245"/>
      <x:c r="M170" s="245"/>
    </x:row>
    <x:row r="171">
      <x:c r="A171" s="240" t="str">
        <x:v>基准情形</x:v>
      </x:c>
      <x:c r="B171" s="240" t="str">
        <x:v>2027E</x:v>
      </x:c>
      <x:c r="C171" s="251" t="n">
        <x:f>'机会模型'!L12</x:f>
        <x:v>41.247688000000004</x:v>
      </x:c>
      <x:c r="D171" s="251" t="n">
        <x:f>I86</x:f>
        <x:v>31.49716</x:v>
      </x:c>
      <x:c r="E171" s="251" t="n">
        <x:f>D171-C171</x:f>
        <x:v>-9.750528000000003</x:v>
      </x:c>
      <x:c r="F171" s="251" t="n">
        <x:f>'机会模型'!L5*'机会输入'!D50+'机会模型'!L6*'机会输入'!D51+'机会模型'!L7*'机会输入'!D52+'机会模型'!L8*'机会输入'!D53+'机会模型'!L9*'机会输入'!D54+'机会模型'!L10*'机会输入'!D55+'机会模型'!L11*'机会输入'!D56</x:f>
        <x:v>30.677453600000003</x:v>
      </x:c>
      <x:c r="G171" s="251" t="n">
        <x:f>K86</x:f>
        <x:v>23.944244000000005</x:v>
      </x:c>
      <x:c r="H171" s="251" t="n">
        <x:f>G171-F171</x:f>
        <x:v>-6.733209599999999</x:v>
      </x:c>
      <x:c r="I171" s="240" t="str">
        <x:v>参考收入不与主预测相加</x:v>
      </x:c>
      <x:c r="J171" s="245"/>
      <x:c r="K171" s="245"/>
      <x:c r="L171" s="245"/>
      <x:c r="M171" s="245"/>
    </x:row>
    <x:row r="172">
      <x:c r="A172" s="240" t="str">
        <x:v>基准情形</x:v>
      </x:c>
      <x:c r="B172" s="240" t="str">
        <x:v>2028E</x:v>
      </x:c>
      <x:c r="C172" s="251" t="n">
        <x:f>'机会模型'!M12</x:f>
        <x:v>119.16886335999999</x:v>
      </x:c>
      <x:c r="D172" s="251" t="n">
        <x:f>I94</x:f>
        <x:v>72.32410022399999</x:v>
      </x:c>
      <x:c r="E172" s="251" t="n">
        <x:f>D172-C172</x:f>
        <x:v>-46.844763136</x:v>
      </x:c>
      <x:c r="F172" s="251" t="n">
        <x:f>'机会模型'!M5*'机会输入'!E50+'机会模型'!M6*'机会输入'!E51+'机会模型'!M7*'机会输入'!E52+'机会模型'!M8*'机会输入'!E53+'机会模型'!M9*'机会输入'!E54+'机会模型'!M10*'机会输入'!E55+'机会模型'!M11*'机会输入'!E56</x:f>
        <x:v>95.44089068800001</x:v>
      </x:c>
      <x:c r="G172" s="251" t="n">
        <x:f>K94</x:f>
        <x:v>58.1536881792</x:v>
      </x:c>
      <x:c r="H172" s="251" t="n">
        <x:f>G172-F172</x:f>
        <x:v>-37.28720250880001</x:v>
      </x:c>
      <x:c r="I172" s="240" t="str">
        <x:v>参考收入不与主预测相加</x:v>
      </x:c>
      <x:c r="J172" s="245"/>
      <x:c r="K172" s="245"/>
      <x:c r="L172" s="245"/>
      <x:c r="M172" s="245"/>
    </x:row>
    <x:row r="173">
      <x:c r="A173" s="240" t="str">
        <x:v>基准情形</x:v>
      </x:c>
      <x:c r="B173" s="240" t="str">
        <x:v>2029E</x:v>
      </x:c>
      <x:c r="C173" s="251" t="n">
        <x:f>'机会模型'!N12</x:f>
        <x:v>214.0201181056</x:v>
      </x:c>
      <x:c r="D173" s="251" t="n">
        <x:f>I102</x:f>
        <x:v>173.12410397440001</x:v>
      </x:c>
      <x:c r="E173" s="251" t="n">
        <x:f>D173-C173</x:f>
        <x:v>-40.89601413119999</x:v>
      </x:c>
      <x:c r="F173" s="251" t="n">
        <x:f>'机会模型'!N5*'机会输入'!F50+'机会模型'!N6*'机会输入'!F51+'机会模型'!N7*'机会输入'!F52+'机会模型'!N8*'机会输入'!F53+'机会模型'!N9*'机会输入'!F54+'机会模型'!N10*'机会输入'!F55+'机会模型'!N11*'机会输入'!F56</x:f>
        <x:v>170.81879448448004</x:v>
      </x:c>
      <x:c r="G173" s="251" t="n">
        <x:f>K102</x:f>
        <x:v>137.96278317952002</x:v>
      </x:c>
      <x:c r="H173" s="251" t="n">
        <x:f>G173-F173</x:f>
        <x:v>-32.85601130496002</x:v>
      </x:c>
      <x:c r="I173" s="240" t="str">
        <x:v>参考收入不与主预测相加</x:v>
      </x:c>
      <x:c r="J173" s="245"/>
      <x:c r="K173" s="245"/>
      <x:c r="L173" s="245"/>
      <x:c r="M173" s="245"/>
    </x:row>
    <x:row r="174">
      <x:c r="A174" s="240" t="str">
        <x:v>基准情形</x:v>
      </x:c>
      <x:c r="B174" s="240" t="str">
        <x:v>2030E</x:v>
      </x:c>
      <x:c r="C174" s="251" t="n">
        <x:f>'机会模型'!O12</x:f>
        <x:v>301.63957849344</x:v>
      </x:c>
      <x:c r="D174" s="251" t="n">
        <x:f>I110</x:f>
        <x:v>342.79696932096005</x:v>
      </x:c>
      <x:c r="E174" s="251" t="n">
        <x:f>D174-C174</x:f>
        <x:v>41.15739082752003</x:v>
      </x:c>
      <x:c r="F174" s="251" t="n">
        <x:f>'机会模型'!O5*'机会输入'!G50+'机会模型'!O6*'机会输入'!G51+'机会模型'!O7*'机会输入'!G52+'机会模型'!O8*'机会输入'!G53+'机会模型'!O9*'机会输入'!G54+'机会模型'!O10*'机会输入'!G55+'机会模型'!O11*'机会输入'!G56</x:f>
        <x:v>240.20187159475202</x:v>
      </x:c>
      <x:c r="G174" s="251" t="n">
        <x:f>K110</x:f>
        <x:v>271.73213625676806</x:v>
      </x:c>
      <x:c r="H174" s="251" t="n">
        <x:f>G174-F174</x:f>
        <x:v>31.530264662016037</x:v>
      </x:c>
      <x:c r="I174" s="240" t="str">
        <x:v>参考收入不与主预测相加</x:v>
      </x:c>
      <x:c r="J174" s="245"/>
      <x:c r="K174" s="245"/>
      <x:c r="L174" s="245"/>
      <x:c r="M174" s="245"/>
    </x:row>
    <x:row r="175">
      <x:c r="A175" s="240" t="str">
        <x:v>乐观情形</x:v>
      </x:c>
      <x:c r="B175" s="240" t="str">
        <x:v>2026E</x:v>
      </x:c>
      <x:c r="C175" s="251" t="n">
        <x:f>'机会模型'!Q12</x:f>
        <x:v>7.76242624</x:v>
      </x:c>
      <x:c r="D175" s="251" t="n">
        <x:f>I123</x:f>
        <x:v>7.76242624</x:v>
      </x:c>
      <x:c r="E175" s="251" t="n">
        <x:f>D175-C175</x:f>
        <x:v>0</x:v>
      </x:c>
      <x:c r="F175" s="251" t="n">
        <x:f>'机会模型'!Q5*'机会输入'!C57+'机会模型'!Q6*'机会输入'!C58+'机会模型'!Q7*'机会输入'!C59+'机会模型'!Q8*'机会输入'!C60+'机会模型'!Q9*'机会输入'!C61+'机会模型'!Q10*'机会输入'!C62+'机会模型'!Q11*'机会输入'!C63</x:f>
        <x:v>4.85684992</x:v>
      </x:c>
      <x:c r="G175" s="251" t="n">
        <x:f>K123</x:f>
        <x:v>4.85684992</x:v>
      </x:c>
      <x:c r="H175" s="251" t="n">
        <x:f>G175-F175</x:f>
        <x:v>0</x:v>
      </x:c>
      <x:c r="I175" s="240" t="str">
        <x:v>参考收入不与主预测相加</x:v>
      </x:c>
      <x:c r="J175" s="245"/>
      <x:c r="K175" s="245"/>
      <x:c r="L175" s="245"/>
      <x:c r="M175" s="245"/>
    </x:row>
    <x:row r="176">
      <x:c r="A176" s="240" t="str">
        <x:v>乐观情形</x:v>
      </x:c>
      <x:c r="B176" s="240" t="str">
        <x:v>2027E</x:v>
      </x:c>
      <x:c r="C176" s="251" t="n">
        <x:f>'机会模型'!R12</x:f>
        <x:v>50.21304586666668</x:v>
      </x:c>
      <x:c r="D176" s="251" t="n">
        <x:f>I131</x:f>
        <x:v>38.782338666666675</x:v>
      </x:c>
      <x:c r="E176" s="251" t="n">
        <x:f>D176-C176</x:f>
        <x:v>-11.430707200000008</x:v>
      </x:c>
      <x:c r="F176" s="251" t="n">
        <x:f>'机会模型'!R5*'机会输入'!D57+'机会模型'!R6*'机会输入'!D58+'机会模型'!R7*'机会输入'!D59+'机会模型'!R8*'机会输入'!D60+'机会模型'!R9*'机会输入'!D61+'机会模型'!R10*'机会输入'!D62+'机会模型'!R11*'机会输入'!D63</x:f>
        <x:v>37.46379077333334</x:v>
      </x:c>
      <x:c r="G176" s="251" t="n">
        <x:f>K131</x:f>
        <x:v>29.574935733333337</x:v>
      </x:c>
      <x:c r="H176" s="251" t="n">
        <x:f>G176-F176</x:f>
        <x:v>-7.888855040000006</x:v>
      </x:c>
      <x:c r="I176" s="240" t="str">
        <x:v>参考收入不与主预测相加</x:v>
      </x:c>
      <x:c r="J176" s="245"/>
      <x:c r="K176" s="245"/>
      <x:c r="L176" s="245"/>
      <x:c r="M176" s="245"/>
    </x:row>
    <x:row r="177">
      <x:c r="A177" s="240" t="str">
        <x:v>乐观情形</x:v>
      </x:c>
      <x:c r="B177" s="240" t="str">
        <x:v>2028E</x:v>
      </x:c>
      <x:c r="C177" s="251" t="n">
        <x:f>'机会模型'!S12</x:f>
        <x:v>143.27160031360003</x:v>
      </x:c>
      <x:c r="D177" s="251" t="n">
        <x:f>I139</x:f>
        <x:v>88.83280669824</x:v>
      </x:c>
      <x:c r="E177" s="251" t="n">
        <x:f>D177-C177</x:f>
        <x:v>-54.43879361536003</x:v>
      </x:c>
      <x:c r="F177" s="251" t="n">
        <x:f>'机会模型'!S5*'机会输入'!E57+'机会模型'!S6*'机会输入'!E58+'机会模型'!S7*'机会输入'!E59+'机会模型'!S8*'机会输入'!E60+'机会模型'!S9*'机会输入'!E61+'机会模型'!S10*'机会输入'!E62+'机会模型'!S11*'机会输入'!E63</x:f>
        <x:v>114.74529825088004</x:v>
      </x:c>
      <x:c r="G177" s="251" t="n">
        <x:f>K139</x:f>
        <x:v>71.42247903859202</x:v>
      </x:c>
      <x:c r="H177" s="251" t="n">
        <x:f>G177-F177</x:f>
        <x:v>-43.322819212288024</x:v>
      </x:c>
      <x:c r="I177" s="240" t="str">
        <x:v>参考收入不与主预测相加</x:v>
      </x:c>
      <x:c r="J177" s="245"/>
      <x:c r="K177" s="245"/>
      <x:c r="L177" s="245"/>
      <x:c r="M177" s="245"/>
    </x:row>
    <x:row r="178">
      <x:c r="A178" s="240" t="str">
        <x:v>乐观情形</x:v>
      </x:c>
      <x:c r="B178" s="240" t="str">
        <x:v>2029E</x:v>
      </x:c>
      <x:c r="C178" s="251" t="n">
        <x:f>'机会模型'!T12</x:f>
        <x:v>255.723335967616</x:v>
      </x:c>
      <x:c r="D178" s="251" t="n">
        <x:f>I147</x:f>
        <x:v>208.53606734118404</x:v>
      </x:c>
      <x:c r="E178" s="251" t="n">
        <x:f>D178-C178</x:f>
        <x:v>-47.18726862643197</x:v>
      </x:c>
      <x:c r="F178" s="251" t="n">
        <x:f>'机会模型'!T5*'机会输入'!F57+'机会模型'!T6*'机会输入'!F58+'机会模型'!T7*'机会输入'!F59+'机会模型'!T8*'机会输入'!F60+'机会模型'!T9*'机会输入'!F61+'机会模型'!T10*'机会输入'!F62+'机会模型'!T11*'机会输入'!F63</x:f>
        <x:v>204.09793577409283</x:v>
      </x:c>
      <x:c r="G178" s="251" t="n">
        <x:f>K147</x:f>
        <x:v>166.17968887294722</x:v>
      </x:c>
      <x:c r="H178" s="251" t="n">
        <x:f>G178-F178</x:f>
        <x:v>-37.91824690114561</x:v>
      </x:c>
      <x:c r="I178" s="240" t="str">
        <x:v>参考收入不与主预测相加</x:v>
      </x:c>
      <x:c r="J178" s="245"/>
      <x:c r="K178" s="245"/>
      <x:c r="L178" s="245"/>
      <x:c r="M178" s="245"/>
    </x:row>
    <x:row r="179">
      <x:c r="A179" s="240" t="str">
        <x:v>乐观情形</x:v>
      </x:c>
      <x:c r="B179" s="240" t="str">
        <x:v>2030E</x:v>
      </x:c>
      <x:c r="C179" s="251" t="n">
        <x:f>'机会模型'!U12</x:f>
        <x:v>359.4826168184065</x:v>
      </x:c>
      <x:c r="D179" s="251" t="n">
        <x:f>I155</x:f>
        <x:v>408.6525184363777</x:v>
      </x:c>
      <x:c r="E179" s="251" t="n">
        <x:f>D179-C179</x:f>
        <x:v>49.16990161797122</x:v>
      </x:c>
      <x:c r="F179" s="251" t="n">
        <x:f>'机会模型'!U5*'机会输入'!G57+'机会模型'!U6*'机会输入'!G58+'机会模型'!U7*'机会输入'!G59+'机会模型'!U8*'机会输入'!G60+'机会模型'!U9*'机会输入'!G61+'机会模型'!U10*'机会输入'!G62+'机会模型'!U11*'机会输入'!G63</x:f>
        <x:v>286.24324610272515</x:v>
      </x:c>
      <x:c r="G179" s="251" t="n">
        <x:f>K155</x:f>
        <x:v>323.8904333171022</x:v>
      </x:c>
      <x:c r="H179" s="251" t="n">
        <x:f>G179-F179</x:f>
        <x:v>37.64718721437703</x:v>
      </x:c>
      <x:c r="I179" s="240" t="str">
        <x:v>参考收入不与主预测相加</x:v>
      </x:c>
      <x:c r="J179" s="245"/>
      <x:c r="K179" s="245"/>
      <x:c r="L179" s="245"/>
      <x:c r="M179" s="245"/>
    </x:row>
    <x:row r="180">
      <x:c r="A180" s="245"/>
      <x:c r="B180" s="245"/>
      <x:c r="C180" s="245"/>
      <x:c r="D180" s="245"/>
      <x:c r="E180" s="245"/>
      <x:c r="F180" s="245"/>
      <x:c r="G180" s="245"/>
      <x:c r="H180" s="245"/>
      <x:c r="I180" s="245"/>
      <x:c r="J180" s="245"/>
      <x:c r="K180" s="245"/>
      <x:c r="L180" s="245"/>
      <x:c r="M180" s="245"/>
    </x:row>
    <x:row r="181">
      <x:c r="A181" s="245"/>
      <x:c r="B181" s="245"/>
      <x:c r="C181" s="245"/>
      <x:c r="D181" s="245"/>
      <x:c r="E181" s="245"/>
      <x:c r="F181" s="245"/>
      <x:c r="G181" s="245"/>
      <x:c r="H181" s="245"/>
      <x:c r="I181" s="245"/>
      <x:c r="J181" s="245"/>
      <x:c r="K181" s="245"/>
      <x:c r="L181" s="245"/>
      <x:c r="M181" s="245"/>
    </x:row>
  </x:sheetData>
  <x:mergeCells>
    <x:mergeCell ref="A1:L1"/>
    <x:mergeCell ref="A2:L2"/>
    <x:mergeCell ref="A19:L19"/>
    <x:mergeCell ref="A21:L21"/>
    <x:mergeCell ref="A24:L24"/>
    <x:mergeCell ref="A69:L69"/>
    <x:mergeCell ref="A114:L114"/>
  </x:mergeCells>
  <x:dataValidations count="4">
    <x:dataValidation type="decimal" operator="between" sqref="C13:G13">
      <x:formula1>0</x:formula1>
      <x:formula2>1</x:formula2>
    </x:dataValidation>
    <x:dataValidation type="decimal" operator="between" sqref="C11:G12">
      <x:formula1>0</x:formula1>
      <x:formula2>1000</x:formula2>
    </x:dataValidation>
    <x:dataValidation type="whole" operator="between" sqref="C14">
      <x:formula1>1</x:formula1>
      <x:formula2>2</x:formula2>
    </x:dataValidation>
    <x:dataValidation type="decimal" operator="between" sqref="C4:G4">
      <x:formula1>0</x:formula1>
      <x:formula2>10000000</x:formula2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32" customHeight="1">
      <x:c r="A1" s="172" t="str">
        <x:v>研发投入、资产积累与经营前瞻指标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245"/>
      <x:c r="Q1" s="245"/>
    </x:row>
    <x:row r="2" ht="28" customHeight="1">
      <x:c r="A2" s="174" t="str">
        <x:v>实际披露；金额单位：亿元。2026H1为六个月累计，资产为期末余额；研发与利润未作财务重述。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245"/>
      <x:c r="Q2" s="245"/>
    </x:row>
    <x:row r="3">
      <x:c r="A3" s="245"/>
      <x:c r="B3" s="245"/>
      <x:c r="C3" s="245"/>
      <x:c r="D3" s="245"/>
      <x:c r="E3" s="245"/>
      <x:c r="F3" s="245"/>
      <x:c r="G3" s="245"/>
      <x:c r="H3" s="245"/>
      <x:c r="I3" s="245"/>
      <x:c r="J3" s="245"/>
      <x:c r="K3" s="245"/>
      <x:c r="L3" s="245"/>
      <x:c r="M3" s="245"/>
      <x:c r="N3" s="245"/>
      <x:c r="O3" s="245"/>
      <x:c r="P3" s="245"/>
      <x:c r="Q3" s="245"/>
    </x:row>
    <x:row r="4">
      <x:c r="A4" s="245"/>
      <x:c r="B4" s="245"/>
      <x:c r="C4" s="245"/>
      <x:c r="D4" s="245"/>
      <x:c r="E4" s="245"/>
      <x:c r="F4" s="245"/>
      <x:c r="G4" s="245"/>
      <x:c r="H4" s="245"/>
      <x:c r="I4" s="245"/>
      <x:c r="J4" s="245"/>
      <x:c r="K4" s="245"/>
      <x:c r="L4" s="245"/>
      <x:c r="M4" s="245"/>
      <x:c r="N4" s="245"/>
      <x:c r="O4" s="245"/>
      <x:c r="P4" s="245"/>
      <x:c r="Q4" s="245"/>
    </x:row>
    <x:row r="5">
      <x:c r="A5" s="245"/>
      <x:c r="B5" s="245"/>
      <x:c r="C5" s="245"/>
      <x:c r="D5" s="245"/>
      <x:c r="E5" s="245"/>
      <x:c r="F5" s="245"/>
      <x:c r="G5" s="245"/>
      <x:c r="H5" s="245"/>
      <x:c r="I5" s="245"/>
      <x:c r="J5" s="245"/>
      <x:c r="K5" s="245"/>
      <x:c r="L5" s="245"/>
      <x:c r="M5" s="245"/>
      <x:c r="N5" s="245"/>
      <x:c r="O5" s="245"/>
      <x:c r="P5" s="245"/>
      <x:c r="Q5" s="245"/>
    </x:row>
    <x:row r="6">
      <x:c r="A6" s="245"/>
      <x:c r="B6" s="245"/>
      <x:c r="C6" s="245"/>
      <x:c r="D6" s="245"/>
      <x:c r="E6" s="245"/>
      <x:c r="F6" s="245"/>
      <x:c r="G6" s="245"/>
      <x:c r="H6" s="245"/>
      <x:c r="I6" s="245"/>
      <x:c r="J6" s="245"/>
      <x:c r="K6" s="245"/>
      <x:c r="L6" s="245"/>
      <x:c r="M6" s="245"/>
      <x:c r="N6" s="245"/>
      <x:c r="O6" s="245"/>
      <x:c r="P6" s="245"/>
      <x:c r="Q6" s="245"/>
    </x:row>
    <x:row r="7">
      <x:c r="A7" s="245"/>
      <x:c r="B7" s="245"/>
      <x:c r="C7" s="245"/>
      <x:c r="D7" s="245"/>
      <x:c r="E7" s="245"/>
      <x:c r="F7" s="245"/>
      <x:c r="G7" s="245"/>
      <x:c r="H7" s="245"/>
      <x:c r="I7" s="245"/>
      <x:c r="J7" s="245"/>
      <x:c r="K7" s="245"/>
      <x:c r="L7" s="245"/>
      <x:c r="M7" s="245"/>
      <x:c r="N7" s="245"/>
      <x:c r="O7" s="245"/>
      <x:c r="P7" s="245"/>
      <x:c r="Q7" s="245"/>
    </x:row>
    <x:row r="8">
      <x:c r="A8" s="245"/>
      <x:c r="B8" s="245"/>
      <x:c r="C8" s="245"/>
      <x:c r="D8" s="245"/>
      <x:c r="E8" s="245"/>
      <x:c r="F8" s="245"/>
      <x:c r="G8" s="245"/>
      <x:c r="H8" s="245"/>
      <x:c r="I8" s="245"/>
      <x:c r="J8" s="245"/>
      <x:c r="K8" s="245"/>
      <x:c r="L8" s="245"/>
      <x:c r="M8" s="245"/>
      <x:c r="N8" s="245"/>
      <x:c r="O8" s="245"/>
      <x:c r="P8" s="245"/>
      <x:c r="Q8" s="245"/>
    </x:row>
    <x:row r="9">
      <x:c r="A9" s="245"/>
      <x:c r="B9" s="245"/>
      <x:c r="C9" s="245"/>
      <x:c r="D9" s="245"/>
      <x:c r="E9" s="245"/>
      <x:c r="F9" s="245"/>
      <x:c r="G9" s="245"/>
      <x:c r="H9" s="245"/>
      <x:c r="I9" s="245"/>
      <x:c r="J9" s="245"/>
      <x:c r="K9" s="245"/>
      <x:c r="L9" s="245"/>
      <x:c r="M9" s="245"/>
      <x:c r="N9" s="245"/>
      <x:c r="O9" s="245"/>
      <x:c r="P9" s="245"/>
      <x:c r="Q9" s="245"/>
    </x:row>
    <x:row r="10">
      <x:c r="A10" s="245"/>
      <x:c r="B10" s="245"/>
      <x:c r="C10" s="245"/>
      <x:c r="D10" s="245"/>
      <x:c r="E10" s="245"/>
      <x:c r="F10" s="245"/>
      <x:c r="G10" s="245"/>
      <x:c r="H10" s="245"/>
      <x:c r="I10" s="245"/>
      <x:c r="J10" s="245"/>
      <x:c r="K10" s="245"/>
      <x:c r="L10" s="245"/>
      <x:c r="M10" s="245"/>
      <x:c r="N10" s="245"/>
      <x:c r="O10" s="245"/>
      <x:c r="P10" s="245"/>
      <x:c r="Q10" s="245"/>
    </x:row>
    <x:row r="11">
      <x:c r="A11" s="245"/>
      <x:c r="B11" s="245"/>
      <x:c r="C11" s="245"/>
      <x:c r="D11" s="245"/>
      <x:c r="E11" s="245"/>
      <x:c r="F11" s="245"/>
      <x:c r="G11" s="245"/>
      <x:c r="H11" s="245"/>
      <x:c r="I11" s="245"/>
      <x:c r="J11" s="245"/>
      <x:c r="K11" s="245"/>
      <x:c r="L11" s="245"/>
      <x:c r="M11" s="245"/>
      <x:c r="N11" s="245"/>
      <x:c r="O11" s="245"/>
      <x:c r="P11" s="245"/>
      <x:c r="Q11" s="245"/>
    </x:row>
    <x:row r="12">
      <x:c r="A12" s="245"/>
      <x:c r="B12" s="245"/>
      <x:c r="C12" s="245"/>
      <x:c r="D12" s="245"/>
      <x:c r="E12" s="245"/>
      <x:c r="F12" s="245"/>
      <x:c r="G12" s="245"/>
      <x:c r="H12" s="245"/>
      <x:c r="I12" s="245"/>
      <x:c r="J12" s="245"/>
      <x:c r="K12" s="245"/>
      <x:c r="L12" s="245"/>
      <x:c r="M12" s="245"/>
      <x:c r="N12" s="245"/>
      <x:c r="O12" s="245"/>
      <x:c r="P12" s="245"/>
      <x:c r="Q12" s="245"/>
    </x:row>
    <x:row r="13">
      <x:c r="A13" s="245"/>
      <x:c r="B13" s="245"/>
      <x:c r="C13" s="245"/>
      <x:c r="D13" s="245"/>
      <x:c r="E13" s="245"/>
      <x:c r="F13" s="245"/>
      <x:c r="G13" s="245"/>
      <x:c r="H13" s="245"/>
      <x:c r="I13" s="245"/>
      <x:c r="J13" s="245"/>
      <x:c r="K13" s="245"/>
      <x:c r="L13" s="245"/>
      <x:c r="M13" s="245"/>
      <x:c r="N13" s="245"/>
      <x:c r="O13" s="245"/>
      <x:c r="P13" s="245"/>
      <x:c r="Q13" s="245"/>
    </x:row>
    <x:row r="14">
      <x:c r="A14" s="245"/>
      <x:c r="B14" s="245"/>
      <x:c r="C14" s="245"/>
      <x:c r="D14" s="245"/>
      <x:c r="E14" s="245"/>
      <x:c r="F14" s="245"/>
      <x:c r="G14" s="245"/>
      <x:c r="H14" s="245"/>
      <x:c r="I14" s="245"/>
      <x:c r="J14" s="245"/>
      <x:c r="K14" s="245"/>
      <x:c r="L14" s="245"/>
      <x:c r="M14" s="245"/>
      <x:c r="N14" s="245"/>
      <x:c r="O14" s="245"/>
      <x:c r="P14" s="245"/>
      <x:c r="Q14" s="245"/>
    </x:row>
    <x:row r="15">
      <x:c r="A15" s="245"/>
      <x:c r="B15" s="245"/>
      <x:c r="C15" s="245"/>
      <x:c r="D15" s="245"/>
      <x:c r="E15" s="245"/>
      <x:c r="F15" s="245"/>
      <x:c r="G15" s="245"/>
      <x:c r="H15" s="245"/>
      <x:c r="I15" s="245"/>
      <x:c r="J15" s="245"/>
      <x:c r="K15" s="245"/>
      <x:c r="L15" s="245"/>
      <x:c r="M15" s="245"/>
      <x:c r="N15" s="245"/>
      <x:c r="O15" s="245"/>
      <x:c r="P15" s="245"/>
      <x:c r="Q15" s="245"/>
    </x:row>
    <x:row r="16">
      <x:c r="A16" s="245"/>
      <x:c r="B16" s="245"/>
      <x:c r="C16" s="245"/>
      <x:c r="D16" s="245"/>
      <x:c r="E16" s="245"/>
      <x:c r="F16" s="245"/>
      <x:c r="G16" s="245"/>
      <x:c r="H16" s="245"/>
      <x:c r="I16" s="245"/>
      <x:c r="J16" s="245"/>
      <x:c r="K16" s="245"/>
      <x:c r="L16" s="245"/>
      <x:c r="M16" s="245"/>
      <x:c r="N16" s="245"/>
      <x:c r="O16" s="245"/>
      <x:c r="P16" s="245"/>
      <x:c r="Q16" s="245"/>
    </x:row>
    <x:row r="17">
      <x:c r="A17" s="245"/>
      <x:c r="B17" s="245"/>
      <x:c r="C17" s="245"/>
      <x:c r="D17" s="245"/>
      <x:c r="E17" s="245"/>
      <x:c r="F17" s="245"/>
      <x:c r="G17" s="245"/>
      <x:c r="H17" s="245"/>
      <x:c r="I17" s="245"/>
      <x:c r="J17" s="245"/>
      <x:c r="K17" s="245"/>
      <x:c r="L17" s="245"/>
      <x:c r="M17" s="245"/>
      <x:c r="N17" s="245"/>
      <x:c r="O17" s="245"/>
      <x:c r="P17" s="245"/>
      <x:c r="Q17" s="245"/>
    </x:row>
    <x:row r="18">
      <x:c r="A18" s="245"/>
      <x:c r="B18" s="245"/>
      <x:c r="C18" s="245"/>
      <x:c r="D18" s="245"/>
      <x:c r="E18" s="245"/>
      <x:c r="F18" s="245"/>
      <x:c r="G18" s="245"/>
      <x:c r="H18" s="245"/>
      <x:c r="I18" s="245"/>
      <x:c r="J18" s="245"/>
      <x:c r="K18" s="245"/>
      <x:c r="L18" s="245"/>
      <x:c r="M18" s="245"/>
      <x:c r="N18" s="245"/>
      <x:c r="O18" s="245"/>
      <x:c r="P18" s="245"/>
      <x:c r="Q18" s="245"/>
    </x:row>
    <x:row r="19">
      <x:c r="A19" s="245"/>
      <x:c r="B19" s="245"/>
      <x:c r="C19" s="245"/>
      <x:c r="D19" s="245"/>
      <x:c r="E19" s="245"/>
      <x:c r="F19" s="245"/>
      <x:c r="G19" s="245"/>
      <x:c r="H19" s="245"/>
      <x:c r="I19" s="245"/>
      <x:c r="J19" s="245"/>
      <x:c r="K19" s="245"/>
      <x:c r="L19" s="245"/>
      <x:c r="M19" s="245"/>
      <x:c r="N19" s="245"/>
      <x:c r="O19" s="245"/>
      <x:c r="P19" s="245"/>
      <x:c r="Q19" s="245"/>
    </x:row>
    <x:row r="20">
      <x:c r="A20" s="245"/>
      <x:c r="B20" s="245"/>
      <x:c r="C20" s="245"/>
      <x:c r="D20" s="245"/>
      <x:c r="E20" s="245"/>
      <x:c r="F20" s="245"/>
      <x:c r="G20" s="245"/>
      <x:c r="H20" s="245"/>
      <x:c r="I20" s="245"/>
      <x:c r="J20" s="245"/>
      <x:c r="K20" s="245"/>
      <x:c r="L20" s="245"/>
      <x:c r="M20" s="245"/>
      <x:c r="N20" s="245"/>
      <x:c r="O20" s="245"/>
      <x:c r="P20" s="245"/>
      <x:c r="Q20" s="245"/>
    </x:row>
    <x:row r="21">
      <x:c r="A21" s="245"/>
      <x:c r="B21" s="245"/>
      <x:c r="C21" s="245"/>
      <x:c r="D21" s="245"/>
      <x:c r="E21" s="245"/>
      <x:c r="F21" s="245"/>
      <x:c r="G21" s="245"/>
      <x:c r="H21" s="245"/>
      <x:c r="I21" s="245"/>
      <x:c r="J21" s="245"/>
      <x:c r="K21" s="245"/>
      <x:c r="L21" s="245"/>
      <x:c r="M21" s="245"/>
      <x:c r="N21" s="245"/>
      <x:c r="O21" s="245"/>
      <x:c r="P21" s="245"/>
      <x:c r="Q21" s="245"/>
    </x:row>
    <x:row r="22">
      <x:c r="A22" s="245"/>
      <x:c r="B22" s="245"/>
      <x:c r="C22" s="245"/>
      <x:c r="D22" s="245"/>
      <x:c r="E22" s="245"/>
      <x:c r="F22" s="245"/>
      <x:c r="G22" s="245"/>
      <x:c r="H22" s="245"/>
      <x:c r="I22" s="245"/>
      <x:c r="J22" s="245"/>
      <x:c r="K22" s="245"/>
      <x:c r="L22" s="245"/>
      <x:c r="M22" s="245"/>
      <x:c r="N22" s="245"/>
      <x:c r="O22" s="245"/>
      <x:c r="P22" s="245"/>
      <x:c r="Q22" s="245"/>
    </x:row>
    <x:row r="23">
      <x:c r="A23" s="245"/>
      <x:c r="B23" s="245"/>
      <x:c r="C23" s="245"/>
      <x:c r="D23" s="245"/>
      <x:c r="E23" s="245"/>
      <x:c r="F23" s="245"/>
      <x:c r="G23" s="245"/>
      <x:c r="H23" s="245"/>
      <x:c r="I23" s="245"/>
      <x:c r="J23" s="245"/>
      <x:c r="K23" s="245"/>
      <x:c r="L23" s="245"/>
      <x:c r="M23" s="245"/>
      <x:c r="N23" s="245"/>
      <x:c r="O23" s="245"/>
      <x:c r="P23" s="245"/>
      <x:c r="Q23" s="245"/>
    </x:row>
    <x:row r="24">
      <x:c r="A24" s="245"/>
      <x:c r="B24" s="245"/>
      <x:c r="C24" s="245"/>
      <x:c r="D24" s="245"/>
      <x:c r="E24" s="245"/>
      <x:c r="F24" s="245"/>
      <x:c r="G24" s="245"/>
      <x:c r="H24" s="245"/>
      <x:c r="I24" s="245"/>
      <x:c r="J24" s="245"/>
      <x:c r="K24" s="245"/>
      <x:c r="L24" s="245"/>
      <x:c r="M24" s="245"/>
      <x:c r="N24" s="245"/>
      <x:c r="O24" s="245"/>
      <x:c r="P24" s="245"/>
      <x:c r="Q24" s="245"/>
    </x:row>
    <x:row r="25">
      <x:c r="A25" s="245"/>
      <x:c r="B25" s="245"/>
      <x:c r="C25" s="245"/>
      <x:c r="D25" s="245"/>
      <x:c r="E25" s="245"/>
      <x:c r="F25" s="245"/>
      <x:c r="G25" s="245"/>
      <x:c r="H25" s="245"/>
      <x:c r="I25" s="245"/>
      <x:c r="J25" s="245"/>
      <x:c r="K25" s="245"/>
      <x:c r="L25" s="245"/>
      <x:c r="M25" s="245"/>
      <x:c r="N25" s="245"/>
      <x:c r="O25" s="245"/>
      <x:c r="P25" s="245"/>
      <x:c r="Q25" s="245"/>
    </x:row>
    <x:row r="26">
      <x:c r="A26" s="245"/>
      <x:c r="B26" s="245"/>
      <x:c r="C26" s="245"/>
      <x:c r="D26" s="245"/>
      <x:c r="E26" s="245"/>
      <x:c r="F26" s="245"/>
      <x:c r="G26" s="245"/>
      <x:c r="H26" s="245"/>
      <x:c r="I26" s="245"/>
      <x:c r="J26" s="245"/>
      <x:c r="K26" s="245"/>
      <x:c r="L26" s="245"/>
      <x:c r="M26" s="245"/>
      <x:c r="N26" s="245"/>
      <x:c r="O26" s="245"/>
      <x:c r="P26" s="245"/>
      <x:c r="Q26" s="245"/>
    </x:row>
    <x:row r="27">
      <x:c r="A27" s="245"/>
      <x:c r="B27" s="245"/>
      <x:c r="C27" s="245"/>
      <x:c r="D27" s="245"/>
      <x:c r="E27" s="245"/>
      <x:c r="F27" s="245"/>
      <x:c r="G27" s="245"/>
      <x:c r="H27" s="245"/>
      <x:c r="I27" s="245"/>
      <x:c r="J27" s="245"/>
      <x:c r="K27" s="245"/>
      <x:c r="L27" s="245"/>
      <x:c r="M27" s="245"/>
      <x:c r="N27" s="245"/>
      <x:c r="O27" s="245"/>
      <x:c r="P27" s="245"/>
      <x:c r="Q27" s="245"/>
    </x:row>
    <x:row r="28">
      <x:c r="A28" s="245"/>
      <x:c r="B28" s="245"/>
      <x:c r="C28" s="245"/>
      <x:c r="D28" s="245"/>
      <x:c r="E28" s="245"/>
      <x:c r="F28" s="245"/>
      <x:c r="G28" s="245"/>
      <x:c r="H28" s="245"/>
      <x:c r="I28" s="245"/>
      <x:c r="J28" s="245"/>
      <x:c r="K28" s="245"/>
      <x:c r="L28" s="245"/>
      <x:c r="M28" s="245"/>
      <x:c r="N28" s="245"/>
      <x:c r="O28" s="245"/>
      <x:c r="P28" s="245"/>
      <x:c r="Q28" s="245"/>
    </x:row>
    <x:row r="29">
      <x:c r="A29" s="245"/>
      <x:c r="B29" s="245"/>
      <x:c r="C29" s="245"/>
      <x:c r="D29" s="245"/>
      <x:c r="E29" s="245"/>
      <x:c r="F29" s="245"/>
      <x:c r="G29" s="245"/>
      <x:c r="H29" s="245"/>
      <x:c r="I29" s="245"/>
      <x:c r="J29" s="245"/>
      <x:c r="K29" s="245"/>
      <x:c r="L29" s="245"/>
      <x:c r="M29" s="245"/>
      <x:c r="N29" s="245"/>
      <x:c r="O29" s="245"/>
      <x:c r="P29" s="245"/>
      <x:c r="Q29" s="245"/>
    </x:row>
    <x:row r="30">
      <x:c r="A30" s="245"/>
      <x:c r="B30" s="245"/>
      <x:c r="C30" s="245"/>
      <x:c r="D30" s="245"/>
      <x:c r="E30" s="245"/>
      <x:c r="F30" s="245"/>
      <x:c r="G30" s="245"/>
      <x:c r="H30" s="245"/>
      <x:c r="I30" s="245"/>
      <x:c r="J30" s="245"/>
      <x:c r="K30" s="245"/>
      <x:c r="L30" s="245"/>
      <x:c r="M30" s="245"/>
      <x:c r="N30" s="245"/>
      <x:c r="O30" s="245"/>
      <x:c r="P30" s="245"/>
      <x:c r="Q30" s="245"/>
    </x:row>
    <x:row r="31">
      <x:c r="A31" s="245"/>
      <x:c r="B31" s="245"/>
      <x:c r="C31" s="245"/>
      <x:c r="D31" s="245"/>
      <x:c r="E31" s="245"/>
      <x:c r="F31" s="245"/>
      <x:c r="G31" s="245"/>
      <x:c r="H31" s="245"/>
      <x:c r="I31" s="245"/>
      <x:c r="J31" s="245"/>
      <x:c r="K31" s="245"/>
      <x:c r="L31" s="245"/>
      <x:c r="M31" s="245"/>
      <x:c r="N31" s="245"/>
      <x:c r="O31" s="245"/>
      <x:c r="P31" s="245"/>
      <x:c r="Q31" s="245"/>
    </x:row>
    <x:row r="32">
      <x:c r="A32" s="245"/>
      <x:c r="B32" s="245"/>
      <x:c r="C32" s="245"/>
      <x:c r="D32" s="245"/>
      <x:c r="E32" s="245"/>
      <x:c r="F32" s="245"/>
      <x:c r="G32" s="245"/>
      <x:c r="H32" s="245"/>
      <x:c r="I32" s="245"/>
      <x:c r="J32" s="245"/>
      <x:c r="K32" s="245"/>
      <x:c r="L32" s="245"/>
      <x:c r="M32" s="245"/>
      <x:c r="N32" s="245"/>
      <x:c r="O32" s="245"/>
      <x:c r="P32" s="245"/>
      <x:c r="Q32" s="245"/>
    </x:row>
    <x:row r="33">
      <x:c r="A33" s="245"/>
      <x:c r="B33" s="245"/>
      <x:c r="C33" s="245"/>
      <x:c r="D33" s="245"/>
      <x:c r="E33" s="245"/>
      <x:c r="F33" s="245"/>
      <x:c r="G33" s="245"/>
      <x:c r="H33" s="245"/>
      <x:c r="I33" s="245"/>
      <x:c r="J33" s="245"/>
      <x:c r="K33" s="245"/>
      <x:c r="L33" s="245"/>
      <x:c r="M33" s="245"/>
      <x:c r="N33" s="245"/>
      <x:c r="O33" s="245"/>
      <x:c r="P33" s="245"/>
      <x:c r="Q33" s="245"/>
    </x:row>
    <x:row r="34">
      <x:c r="A34" s="245"/>
      <x:c r="B34" s="245"/>
      <x:c r="C34" s="245"/>
      <x:c r="D34" s="245"/>
      <x:c r="E34" s="245"/>
      <x:c r="F34" s="245"/>
      <x:c r="G34" s="245"/>
      <x:c r="H34" s="245"/>
      <x:c r="I34" s="245"/>
      <x:c r="J34" s="245"/>
      <x:c r="K34" s="245"/>
      <x:c r="L34" s="245"/>
      <x:c r="M34" s="245"/>
      <x:c r="N34" s="245"/>
      <x:c r="O34" s="245"/>
      <x:c r="P34" s="245"/>
      <x:c r="Q34" s="245"/>
    </x:row>
    <x:row r="35">
      <x:c r="A35" s="245"/>
      <x:c r="B35" s="245"/>
      <x:c r="C35" s="245"/>
      <x:c r="D35" s="245"/>
      <x:c r="E35" s="245"/>
      <x:c r="F35" s="245"/>
      <x:c r="G35" s="245"/>
      <x:c r="H35" s="245"/>
      <x:c r="I35" s="245"/>
      <x:c r="J35" s="245"/>
      <x:c r="K35" s="245"/>
      <x:c r="L35" s="245"/>
      <x:c r="M35" s="245"/>
      <x:c r="N35" s="245"/>
      <x:c r="O35" s="245"/>
      <x:c r="P35" s="245"/>
      <x:c r="Q35" s="245"/>
    </x:row>
    <x:row r="36" ht="42" customHeight="1">
      <x:c r="A36" s="192" t="str">
        <x:v>研发费用率可跨报告期比较，半年研发金额不与全年金额直接计算增速。2024年固定资产及存货增加包含并购影响；在建工程包含西安和马来西亚等项目，不等同于光通信新增产能。</x:v>
      </x:c>
      <x:c r="B36" s="192"/>
      <x:c r="C36" s="192"/>
      <x:c r="D36" s="192"/>
      <x:c r="E36" s="192"/>
      <x:c r="F36" s="192"/>
      <x:c r="G36" s="192"/>
      <x:c r="H36" s="192"/>
      <x:c r="I36" s="192"/>
      <x:c r="J36" s="192"/>
      <x:c r="K36" s="192"/>
      <x:c r="L36" s="192"/>
      <x:c r="M36" s="192"/>
      <x:c r="N36" s="192"/>
      <x:c r="O36" s="192"/>
      <x:c r="P36" s="245"/>
      <x:c r="Q36" s="245"/>
    </x:row>
    <x:row r="37">
      <x:c r="A37" s="245"/>
      <x:c r="B37" s="245"/>
      <x:c r="C37" s="245"/>
      <x:c r="D37" s="245"/>
      <x:c r="E37" s="245"/>
      <x:c r="F37" s="245"/>
      <x:c r="G37" s="245"/>
      <x:c r="H37" s="245"/>
      <x:c r="I37" s="245"/>
      <x:c r="J37" s="245"/>
      <x:c r="K37" s="245"/>
      <x:c r="L37" s="245"/>
      <x:c r="M37" s="245"/>
      <x:c r="N37" s="245"/>
      <x:c r="O37" s="245"/>
      <x:c r="P37" s="245"/>
      <x:c r="Q37" s="245"/>
    </x:row>
    <x:row r="38">
      <x:c r="A38" s="245"/>
      <x:c r="B38" s="245"/>
      <x:c r="C38" s="245"/>
      <x:c r="D38" s="245"/>
      <x:c r="E38" s="245"/>
      <x:c r="F38" s="245"/>
      <x:c r="G38" s="245"/>
      <x:c r="H38" s="245"/>
      <x:c r="I38" s="245"/>
      <x:c r="J38" s="245"/>
      <x:c r="K38" s="245"/>
      <x:c r="L38" s="245"/>
      <x:c r="M38" s="245"/>
      <x:c r="N38" s="245"/>
      <x:c r="O38" s="245"/>
      <x:c r="P38" s="245"/>
      <x:c r="Q38" s="245"/>
    </x:row>
    <x:row r="39" ht="28" customHeight="1">
      <x:c r="A39" s="176" t="str">
        <x:v>历史研发及同业比较｜已披露金额与公式计算的费用率</x:v>
      </x:c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245"/>
      <x:c r="Q39" s="245"/>
    </x:row>
    <x:row r="40">
      <x:c r="A40" s="245"/>
      <x:c r="B40" s="245"/>
      <x:c r="C40" s="245"/>
      <x:c r="D40" s="245"/>
      <x:c r="E40" s="245"/>
      <x:c r="F40" s="245"/>
      <x:c r="G40" s="245"/>
      <x:c r="H40" s="245"/>
      <x:c r="I40" s="245"/>
      <x:c r="J40" s="245"/>
      <x:c r="K40" s="245"/>
      <x:c r="L40" s="245"/>
      <x:c r="M40" s="245"/>
      <x:c r="N40" s="245"/>
      <x:c r="O40" s="245"/>
      <x:c r="P40" s="245"/>
      <x:c r="Q40" s="245"/>
    </x:row>
    <x:row r="41" ht="42" customHeight="1">
      <x:c r="A41" s="176" t="str">
        <x:v>公司</x:v>
      </x:c>
      <x:c r="B41" s="176" t="str">
        <x:v>代码</x:v>
      </x:c>
      <x:c r="C41" s="176" t="str">
        <x:v>报告期</x:v>
      </x:c>
      <x:c r="D41" s="176" t="str">
        <x:v>营业收入</x:v>
      </x:c>
      <x:c r="E41" s="176" t="str">
        <x:v>研发投入</x:v>
      </x:c>
      <x:c r="F41" s="176" t="str">
        <x:v>研发费用</x:v>
      </x:c>
      <x:c r="G41" s="176" t="str">
        <x:v>资本化研发</x:v>
      </x:c>
      <x:c r="H41" s="176" t="str">
        <x:v>研发费用率</x:v>
      </x:c>
      <x:c r="I41" s="176" t="str">
        <x:v>研发投入率</x:v>
      </x:c>
      <x:c r="J41" s="176" t="str">
        <x:v>来源ID</x:v>
      </x:c>
      <x:c r="K41" s="245"/>
      <x:c r="L41" s="245"/>
      <x:c r="M41" s="245"/>
      <x:c r="N41" s="245"/>
      <x:c r="O41" s="245"/>
      <x:c r="P41" s="245"/>
      <x:c r="Q41" s="245"/>
    </x:row>
    <x:row r="42" ht="25" customHeight="1">
      <x:c r="A42" s="240" t="str">
        <x:v>炬光科技</x:v>
      </x:c>
      <x:c r="B42" s="254" t="str">
        <x:v>688167</x:v>
      </x:c>
      <x:c r="C42" s="240" t="str">
        <x:v>2023A</x:v>
      </x:c>
      <x:c r="D42" s="255" t="n">
        <x:v>5.6117313774</x:v>
      </x:c>
      <x:c r="E42" s="255" t="n">
        <x:v>0.7860051406</x:v>
      </x:c>
      <x:c r="F42" s="255" t="n">
        <x:v>0.7860051406</x:v>
      </x:c>
      <x:c r="G42" s="255" t="n">
        <x:v>0</x:v>
      </x:c>
      <x:c r="H42" s="256" t="n">
        <x:f>IF(D42=0,0,F42/D42)</x:f>
        <x:v>0.14006464097078147</x:v>
      </x:c>
      <x:c r="I42" s="256" t="n">
        <x:f>IF(D42=0,0,E42/D42)</x:f>
        <x:v>0.14006464097078147</x:v>
      </x:c>
      <x:c r="J42" s="240" t="str">
        <x:v>jg2024</x:v>
      </x:c>
      <x:c r="K42" s="245"/>
      <x:c r="L42" s="245"/>
      <x:c r="M42" s="245"/>
      <x:c r="N42" s="245"/>
      <x:c r="O42" s="245"/>
      <x:c r="P42" s="245"/>
      <x:c r="Q42" s="245"/>
    </x:row>
    <x:row r="43" ht="25" customHeight="1">
      <x:c r="A43" s="240" t="str">
        <x:v>炬光科技</x:v>
      </x:c>
      <x:c r="B43" s="254" t="str">
        <x:v>688167</x:v>
      </x:c>
      <x:c r="C43" s="240" t="str">
        <x:v>2024A</x:v>
      </x:c>
      <x:c r="D43" s="255" t="n">
        <x:v>6.200194005399999</x:v>
      </x:c>
      <x:c r="E43" s="255" t="n">
        <x:v>0.9507855381</x:v>
      </x:c>
      <x:c r="F43" s="255" t="n">
        <x:v>0.9507855381</x:v>
      </x:c>
      <x:c r="G43" s="255" t="n">
        <x:v>0</x:v>
      </x:c>
      <x:c r="H43" s="256" t="n">
        <x:f>IF(D43=0,0,F43/D43)</x:f>
        <x:v>0.1533477077123591</x:v>
      </x:c>
      <x:c r="I43" s="256" t="n">
        <x:f>IF(D43=0,0,E43/D43)</x:f>
        <x:v>0.1533477077123591</x:v>
      </x:c>
      <x:c r="J43" s="240" t="str">
        <x:v>jg2025</x:v>
      </x:c>
      <x:c r="K43" s="245"/>
      <x:c r="L43" s="245"/>
      <x:c r="M43" s="245"/>
      <x:c r="N43" s="245"/>
      <x:c r="O43" s="245"/>
      <x:c r="P43" s="245"/>
      <x:c r="Q43" s="245"/>
    </x:row>
    <x:row r="44" ht="25" customHeight="1">
      <x:c r="A44" s="240" t="str">
        <x:v>炬光科技</x:v>
      </x:c>
      <x:c r="B44" s="254" t="str">
        <x:v>688167</x:v>
      </x:c>
      <x:c r="C44" s="240" t="str">
        <x:v>2025A</x:v>
      </x:c>
      <x:c r="D44" s="255" t="n">
        <x:v>8.7999932916</x:v>
      </x:c>
      <x:c r="E44" s="255" t="n">
        <x:v>1.7122609469999999</x:v>
      </x:c>
      <x:c r="F44" s="255" t="n">
        <x:v>1.7122609469999999</x:v>
      </x:c>
      <x:c r="G44" s="255" t="n">
        <x:v>0</x:v>
      </x:c>
      <x:c r="H44" s="256" t="n">
        <x:f>IF(D44=0,0,F44/D44)</x:f>
        <x:v>0.19457525594189168</x:v>
      </x:c>
      <x:c r="I44" s="256" t="n">
        <x:f>IF(D44=0,0,E44/D44)</x:f>
        <x:v>0.19457525594189168</x:v>
      </x:c>
      <x:c r="J44" s="240" t="str">
        <x:v>jg2025</x:v>
      </x:c>
      <x:c r="K44" s="245"/>
      <x:c r="L44" s="245"/>
      <x:c r="M44" s="245"/>
      <x:c r="N44" s="245"/>
      <x:c r="O44" s="245"/>
      <x:c r="P44" s="245"/>
      <x:c r="Q44" s="245"/>
    </x:row>
    <x:row r="45" ht="25" customHeight="1">
      <x:c r="A45" s="240" t="str">
        <x:v>炬光科技</x:v>
      </x:c>
      <x:c r="B45" s="254" t="str">
        <x:v>688167</x:v>
      </x:c>
      <x:c r="C45" s="240" t="str">
        <x:v>2025H1</x:v>
      </x:c>
      <x:c r="D45" s="255" t="n">
        <x:v>3.9276607302999995</x:v>
      </x:c>
      <x:c r="E45" s="255" t="n">
        <x:v>0.9391072865000001</x:v>
      </x:c>
      <x:c r="F45" s="255" t="n">
        <x:v>0.9391072865000001</x:v>
      </x:c>
      <x:c r="G45" s="255" t="n">
        <x:v>0</x:v>
      </x:c>
      <x:c r="H45" s="256" t="n">
        <x:f>IF(D45=0,0,F45/D45)</x:f>
        <x:v>0.23910091807452777</x:v>
      </x:c>
      <x:c r="I45" s="256" t="n">
        <x:f>IF(D45=0,0,E45/D45)</x:f>
        <x:v>0.23910091807452777</x:v>
      </x:c>
      <x:c r="J45" s="240" t="str">
        <x:v>jg2026h1</x:v>
      </x:c>
      <x:c r="K45" s="245"/>
      <x:c r="L45" s="245"/>
      <x:c r="M45" s="245"/>
      <x:c r="N45" s="245"/>
      <x:c r="O45" s="245"/>
      <x:c r="P45" s="245"/>
      <x:c r="Q45" s="245"/>
    </x:row>
    <x:row r="46" ht="25" customHeight="1">
      <x:c r="A46" s="240" t="str">
        <x:v>炬光科技</x:v>
      </x:c>
      <x:c r="B46" s="254" t="str">
        <x:v>688167</x:v>
      </x:c>
      <x:c r="C46" s="240" t="str">
        <x:v>2026H1</x:v>
      </x:c>
      <x:c r="D46" s="255" t="n">
        <x:v>4.1856510076</x:v>
      </x:c>
      <x:c r="E46" s="255" t="n">
        <x:v>0.8908166665</x:v>
      </x:c>
      <x:c r="F46" s="255" t="n">
        <x:v>0.8908166665</x:v>
      </x:c>
      <x:c r="G46" s="255" t="n">
        <x:v>0</x:v>
      </x:c>
      <x:c r="H46" s="256" t="n">
        <x:f>IF(D46=0,0,F46/D46)</x:f>
        <x:v>0.2128263118168524</x:v>
      </x:c>
      <x:c r="I46" s="256" t="n">
        <x:f>IF(D46=0,0,E46/D46)</x:f>
        <x:v>0.2128263118168524</x:v>
      </x:c>
      <x:c r="J46" s="240" t="str">
        <x:v>jg2026h1</x:v>
      </x:c>
      <x:c r="K46" s="245"/>
      <x:c r="L46" s="245"/>
      <x:c r="M46" s="245"/>
      <x:c r="N46" s="245"/>
      <x:c r="O46" s="245"/>
      <x:c r="P46" s="245"/>
      <x:c r="Q46" s="245"/>
    </x:row>
    <x:row r="47" ht="25" customHeight="1">
      <x:c r="A47" s="240" t="str">
        <x:v>腾景科技</x:v>
      </x:c>
      <x:c r="B47" s="254" t="str">
        <x:v>688195</x:v>
      </x:c>
      <x:c r="C47" s="240" t="str">
        <x:v>2023A</x:v>
      </x:c>
      <x:c r="D47" s="255" t="n">
        <x:v>3.3991140729000002</x:v>
      </x:c>
      <x:c r="E47" s="255" t="n">
        <x:v>0.34150129</x:v>
      </x:c>
      <x:c r="F47" s="255" t="n">
        <x:v>0.34150129</x:v>
      </x:c>
      <x:c r="G47" s="255" t="n">
        <x:v>0</x:v>
      </x:c>
      <x:c r="H47" s="256" t="n">
        <x:f>IF(D47=0,0,F47/D47)</x:f>
        <x:v>0.10046773443782767</x:v>
      </x:c>
      <x:c r="I47" s="256" t="n">
        <x:f>IF(D47=0,0,E47/D47)</x:f>
        <x:v>0.10046773443782767</x:v>
      </x:c>
      <x:c r="J47" s="240" t="str">
        <x:v>tj2024</x:v>
      </x:c>
      <x:c r="K47" s="245"/>
      <x:c r="L47" s="245"/>
      <x:c r="M47" s="245"/>
      <x:c r="N47" s="245"/>
      <x:c r="O47" s="245"/>
      <x:c r="P47" s="245"/>
      <x:c r="Q47" s="245"/>
    </x:row>
    <x:row r="48" ht="25" customHeight="1">
      <x:c r="A48" s="240" t="str">
        <x:v>腾景科技</x:v>
      </x:c>
      <x:c r="B48" s="254" t="str">
        <x:v>688195</x:v>
      </x:c>
      <x:c r="C48" s="240" t="str">
        <x:v>2024A</x:v>
      </x:c>
      <x:c r="D48" s="255" t="n">
        <x:v>4.4514067964</x:v>
      </x:c>
      <x:c r="E48" s="255" t="n">
        <x:v>0.4722379437</x:v>
      </x:c>
      <x:c r="F48" s="255" t="n">
        <x:v>0.4722379437</x:v>
      </x:c>
      <x:c r="G48" s="255" t="n">
        <x:v>0</x:v>
      </x:c>
      <x:c r="H48" s="256" t="n">
        <x:f>IF(D48=0,0,F48/D48)</x:f>
        <x:v>0.1060873484045346</x:v>
      </x:c>
      <x:c r="I48" s="256" t="n">
        <x:f>IF(D48=0,0,E48/D48)</x:f>
        <x:v>0.1060873484045346</x:v>
      </x:c>
      <x:c r="J48" s="240" t="str">
        <x:v>tj2025</x:v>
      </x:c>
      <x:c r="K48" s="245"/>
      <x:c r="L48" s="245"/>
      <x:c r="M48" s="245"/>
      <x:c r="N48" s="245"/>
      <x:c r="O48" s="245"/>
      <x:c r="P48" s="245"/>
      <x:c r="Q48" s="245"/>
    </x:row>
    <x:row r="49" ht="25" customHeight="1">
      <x:c r="A49" s="240" t="str">
        <x:v>腾景科技</x:v>
      </x:c>
      <x:c r="B49" s="254" t="str">
        <x:v>688195</x:v>
      </x:c>
      <x:c r="C49" s="240" t="str">
        <x:v>2025A</x:v>
      </x:c>
      <x:c r="D49" s="255" t="n">
        <x:v>5.8554313112</x:v>
      </x:c>
      <x:c r="E49" s="255" t="n">
        <x:v>0.6950420818999999</x:v>
      </x:c>
      <x:c r="F49" s="255" t="n">
        <x:v>0.6950420818999999</x:v>
      </x:c>
      <x:c r="G49" s="255" t="n">
        <x:v>0</x:v>
      </x:c>
      <x:c r="H49" s="256" t="n">
        <x:f>IF(D49=0,0,F49/D49)</x:f>
        <x:v>0.11870040735864416</x:v>
      </x:c>
      <x:c r="I49" s="256" t="n">
        <x:f>IF(D49=0,0,E49/D49)</x:f>
        <x:v>0.11870040735864416</x:v>
      </x:c>
      <x:c r="J49" s="240" t="str">
        <x:v>tj2025</x:v>
      </x:c>
      <x:c r="K49" s="245"/>
      <x:c r="L49" s="245"/>
      <x:c r="M49" s="245"/>
      <x:c r="N49" s="245"/>
      <x:c r="O49" s="245"/>
      <x:c r="P49" s="245"/>
      <x:c r="Q49" s="245"/>
    </x:row>
    <x:row r="50" ht="25" customHeight="1">
      <x:c r="A50" s="240" t="str">
        <x:v>腾景科技</x:v>
      </x:c>
      <x:c r="B50" s="254" t="str">
        <x:v>688195</x:v>
      </x:c>
      <x:c r="C50" s="240" t="str">
        <x:v>2025H1</x:v>
      </x:c>
      <x:c r="D50" s="255" t="n">
        <x:v>2.6287719995</x:v>
      </x:c>
      <x:c r="E50" s="255" t="n">
        <x:v>0.2910766641</x:v>
      </x:c>
      <x:c r="F50" s="255" t="n">
        <x:v>0.2910766641</x:v>
      </x:c>
      <x:c r="G50" s="255" t="n">
        <x:v>0</x:v>
      </x:c>
      <x:c r="H50" s="256" t="n">
        <x:f>IF(D50=0,0,F50/D50)</x:f>
        <x:v>0.11072723848069121</x:v>
      </x:c>
      <x:c r="I50" s="256" t="n">
        <x:f>IF(D50=0,0,E50/D50)</x:f>
        <x:v>0.11072723848069121</x:v>
      </x:c>
      <x:c r="J50" s="240" t="str">
        <x:v>tj2026h1</x:v>
      </x:c>
      <x:c r="K50" s="245"/>
      <x:c r="L50" s="245"/>
      <x:c r="M50" s="245"/>
      <x:c r="N50" s="245"/>
      <x:c r="O50" s="245"/>
      <x:c r="P50" s="245"/>
      <x:c r="Q50" s="245"/>
    </x:row>
    <x:row r="51" ht="25" customHeight="1">
      <x:c r="A51" s="240" t="str">
        <x:v>腾景科技</x:v>
      </x:c>
      <x:c r="B51" s="254" t="str">
        <x:v>688195</x:v>
      </x:c>
      <x:c r="C51" s="240" t="str">
        <x:v>2026H1</x:v>
      </x:c>
      <x:c r="D51" s="255" t="n">
        <x:v>4.2939274086</x:v>
      </x:c>
      <x:c r="E51" s="255" t="n">
        <x:v>0.4902781282</x:v>
      </x:c>
      <x:c r="F51" s="255" t="n">
        <x:v>0.4902781282</x:v>
      </x:c>
      <x:c r="G51" s="255" t="n">
        <x:v>0</x:v>
      </x:c>
      <x:c r="H51" s="256" t="n">
        <x:f>IF(D51=0,0,F51/D51)</x:f>
        <x:v>0.11417941701065021</x:v>
      </x:c>
      <x:c r="I51" s="256" t="n">
        <x:f>IF(D51=0,0,E51/D51)</x:f>
        <x:v>0.11417941701065021</x:v>
      </x:c>
      <x:c r="J51" s="240" t="str">
        <x:v>tj2026h1</x:v>
      </x:c>
      <x:c r="K51" s="245"/>
      <x:c r="L51" s="245"/>
      <x:c r="M51" s="245"/>
      <x:c r="N51" s="245"/>
      <x:c r="O51" s="245"/>
      <x:c r="P51" s="245"/>
      <x:c r="Q51" s="245"/>
    </x:row>
    <x:row r="52" ht="25" customHeight="1">
      <x:c r="A52" s="240" t="str">
        <x:v>蓝特光学</x:v>
      </x:c>
      <x:c r="B52" s="254" t="str">
        <x:v>688127</x:v>
      </x:c>
      <x:c r="C52" s="240" t="str">
        <x:v>2023A</x:v>
      </x:c>
      <x:c r="D52" s="255" t="n">
        <x:v>7.5446348595</x:v>
      </x:c>
      <x:c r="E52" s="255" t="n">
        <x:v>0.6557537532</x:v>
      </x:c>
      <x:c r="F52" s="255" t="n">
        <x:v>0.6557537532</x:v>
      </x:c>
      <x:c r="G52" s="255" t="n">
        <x:v>0</x:v>
      </x:c>
      <x:c r="H52" s="256" t="n">
        <x:f>IF(D52=0,0,F52/D52)</x:f>
        <x:v>0.08691656593218591</x:v>
      </x:c>
      <x:c r="I52" s="256" t="n">
        <x:f>IF(D52=0,0,E52/D52)</x:f>
        <x:v>0.08691656593218591</x:v>
      </x:c>
      <x:c r="J52" s="240" t="str">
        <x:v>lt2024</x:v>
      </x:c>
      <x:c r="K52" s="245"/>
      <x:c r="L52" s="245"/>
      <x:c r="M52" s="245"/>
      <x:c r="N52" s="245"/>
      <x:c r="O52" s="245"/>
      <x:c r="P52" s="245"/>
      <x:c r="Q52" s="245"/>
    </x:row>
    <x:row r="53" ht="25" customHeight="1">
      <x:c r="A53" s="240" t="str">
        <x:v>蓝特光学</x:v>
      </x:c>
      <x:c r="B53" s="254" t="str">
        <x:v>688127</x:v>
      </x:c>
      <x:c r="C53" s="240" t="str">
        <x:v>2024A</x:v>
      </x:c>
      <x:c r="D53" s="255" t="n">
        <x:v>10.3421273962</x:v>
      </x:c>
      <x:c r="E53" s="255" t="n">
        <x:v>1.165212305</x:v>
      </x:c>
      <x:c r="F53" s="255" t="n">
        <x:v>1.165212305</x:v>
      </x:c>
      <x:c r="G53" s="255" t="n">
        <x:v>0</x:v>
      </x:c>
      <x:c r="H53" s="256" t="n">
        <x:f>IF(D53=0,0,F53/D53)</x:f>
        <x:v>0.11266659753467484</x:v>
      </x:c>
      <x:c r="I53" s="256" t="n">
        <x:f>IF(D53=0,0,E53/D53)</x:f>
        <x:v>0.11266659753467484</x:v>
      </x:c>
      <x:c r="J53" s="240" t="str">
        <x:v>lt2025</x:v>
      </x:c>
      <x:c r="K53" s="245"/>
      <x:c r="L53" s="245"/>
      <x:c r="M53" s="245"/>
      <x:c r="N53" s="245"/>
      <x:c r="O53" s="245"/>
      <x:c r="P53" s="245"/>
      <x:c r="Q53" s="245"/>
    </x:row>
    <x:row r="54" ht="25" customHeight="1">
      <x:c r="A54" s="240" t="str">
        <x:v>蓝特光学</x:v>
      </x:c>
      <x:c r="B54" s="254" t="str">
        <x:v>688127</x:v>
      </x:c>
      <x:c r="C54" s="240" t="str">
        <x:v>2025A</x:v>
      </x:c>
      <x:c r="D54" s="255" t="n">
        <x:v>15.3601669763</x:v>
      </x:c>
      <x:c r="E54" s="255" t="n">
        <x:v>1.2277040341</x:v>
      </x:c>
      <x:c r="F54" s="255" t="n">
        <x:v>1.2277040341</x:v>
      </x:c>
      <x:c r="G54" s="255" t="n">
        <x:v>0</x:v>
      </x:c>
      <x:c r="H54" s="256" t="n">
        <x:f>IF(D54=0,0,F54/D54)</x:f>
        <x:v>0.07992777917025827</x:v>
      </x:c>
      <x:c r="I54" s="256" t="n">
        <x:f>IF(D54=0,0,E54/D54)</x:f>
        <x:v>0.07992777917025827</x:v>
      </x:c>
      <x:c r="J54" s="240" t="str">
        <x:v>lt2025</x:v>
      </x:c>
      <x:c r="K54" s="245"/>
      <x:c r="L54" s="245"/>
      <x:c r="M54" s="245"/>
      <x:c r="N54" s="245"/>
      <x:c r="O54" s="245"/>
      <x:c r="P54" s="245"/>
      <x:c r="Q54" s="245"/>
    </x:row>
    <x:row r="55" ht="25" customHeight="1">
      <x:c r="A55" s="240" t="str">
        <x:v>蓝特光学</x:v>
      </x:c>
      <x:c r="B55" s="254" t="str">
        <x:v>688127</x:v>
      </x:c>
      <x:c r="C55" s="240" t="str">
        <x:v>2025H1</x:v>
      </x:c>
      <x:c r="D55" s="255" t="n">
        <x:v>5.7689357357</x:v>
      </x:c>
      <x:c r="E55" s="255" t="n">
        <x:v>0.5623236682</x:v>
      </x:c>
      <x:c r="F55" s="255" t="n">
        <x:v>0.5623236682</x:v>
      </x:c>
      <x:c r="G55" s="255" t="n">
        <x:v>0</x:v>
      </x:c>
      <x:c r="H55" s="256" t="n">
        <x:f>IF(D55=0,0,F55/D55)</x:f>
        <x:v>0.09747442057989365</x:v>
      </x:c>
      <x:c r="I55" s="256" t="n">
        <x:f>IF(D55=0,0,E55/D55)</x:f>
        <x:v>0.09747442057989365</x:v>
      </x:c>
      <x:c r="J55" s="240" t="str">
        <x:v>lt2026h1</x:v>
      </x:c>
      <x:c r="K55" s="245"/>
      <x:c r="L55" s="245"/>
      <x:c r="M55" s="245"/>
      <x:c r="N55" s="245"/>
      <x:c r="O55" s="245"/>
      <x:c r="P55" s="245"/>
      <x:c r="Q55" s="245"/>
    </x:row>
    <x:row r="56" ht="25" customHeight="1">
      <x:c r="A56" s="240" t="str">
        <x:v>蓝特光学</x:v>
      </x:c>
      <x:c r="B56" s="254" t="str">
        <x:v>688127</x:v>
      </x:c>
      <x:c r="C56" s="240" t="str">
        <x:v>2026H1</x:v>
      </x:c>
      <x:c r="D56" s="255" t="n">
        <x:v>10.124527753099999</x:v>
      </x:c>
      <x:c r="E56" s="255" t="n">
        <x:v>0.7669862279999999</x:v>
      </x:c>
      <x:c r="F56" s="255" t="n">
        <x:v>0.7669862279999999</x:v>
      </x:c>
      <x:c r="G56" s="255" t="n">
        <x:v>0</x:v>
      </x:c>
      <x:c r="H56" s="256" t="n">
        <x:f>IF(D56=0,0,F56/D56)</x:f>
        <x:v>0.07575525957397457</x:v>
      </x:c>
      <x:c r="I56" s="256" t="n">
        <x:f>IF(D56=0,0,E56/D56)</x:f>
        <x:v>0.07575525957397457</x:v>
      </x:c>
      <x:c r="J56" s="240" t="str">
        <x:v>lt2026h1</x:v>
      </x:c>
      <x:c r="K56" s="245"/>
      <x:c r="L56" s="245"/>
      <x:c r="M56" s="245"/>
      <x:c r="N56" s="245"/>
      <x:c r="O56" s="245"/>
      <x:c r="P56" s="245"/>
      <x:c r="Q56" s="245"/>
    </x:row>
    <x:row r="57" ht="25" customHeight="1">
      <x:c r="A57" s="240" t="str">
        <x:v>水晶光电</x:v>
      </x:c>
      <x:c r="B57" s="254" t="str">
        <x:v>002273</x:v>
      </x:c>
      <x:c r="C57" s="240" t="str">
        <x:v>2023A</x:v>
      </x:c>
      <x:c r="D57" s="255" t="n">
        <x:v>50.7624621702</x:v>
      </x:c>
      <x:c r="E57" s="255" t="n">
        <x:v>4.2388671296</x:v>
      </x:c>
      <x:c r="F57" s="255" t="n">
        <x:v>4.2388671296</x:v>
      </x:c>
      <x:c r="G57" s="255" t="n">
        <x:v>0</x:v>
      </x:c>
      <x:c r="H57" s="256" t="n">
        <x:f>IF(D57=0,0,F57/D57)</x:f>
        <x:v>0.08350397022484103</x:v>
      </x:c>
      <x:c r="I57" s="256" t="n">
        <x:f>IF(D57=0,0,E57/D57)</x:f>
        <x:v>0.08350397022484103</x:v>
      </x:c>
      <x:c r="J57" s="240" t="str">
        <x:v>sj2024</x:v>
      </x:c>
      <x:c r="K57" s="245"/>
      <x:c r="L57" s="245"/>
      <x:c r="M57" s="245"/>
      <x:c r="N57" s="245"/>
      <x:c r="O57" s="245"/>
      <x:c r="P57" s="245"/>
      <x:c r="Q57" s="245"/>
    </x:row>
    <x:row r="58" ht="25" customHeight="1">
      <x:c r="A58" s="240" t="str">
        <x:v>水晶光电</x:v>
      </x:c>
      <x:c r="B58" s="254" t="str">
        <x:v>002273</x:v>
      </x:c>
      <x:c r="C58" s="240" t="str">
        <x:v>2024A</x:v>
      </x:c>
      <x:c r="D58" s="255" t="n">
        <x:v>62.7768843184</x:v>
      </x:c>
      <x:c r="E58" s="255" t="n">
        <x:v>4.0779477043</x:v>
      </x:c>
      <x:c r="F58" s="255" t="n">
        <x:v>4.0779477043</x:v>
      </x:c>
      <x:c r="G58" s="255" t="n">
        <x:v>0</x:v>
      </x:c>
      <x:c r="H58" s="256" t="n">
        <x:f>IF(D58=0,0,F58/D58)</x:f>
        <x:v>0.06495938351474935</x:v>
      </x:c>
      <x:c r="I58" s="256" t="n">
        <x:f>IF(D58=0,0,E58/D58)</x:f>
        <x:v>0.06495938351474935</x:v>
      </x:c>
      <x:c r="J58" s="240" t="str">
        <x:v>sj2025</x:v>
      </x:c>
      <x:c r="K58" s="245"/>
      <x:c r="L58" s="245"/>
      <x:c r="M58" s="245"/>
      <x:c r="N58" s="245"/>
      <x:c r="O58" s="245"/>
      <x:c r="P58" s="245"/>
      <x:c r="Q58" s="245"/>
    </x:row>
    <x:row r="59" ht="25" customHeight="1">
      <x:c r="A59" s="240" t="str">
        <x:v>水晶光电</x:v>
      </x:c>
      <x:c r="B59" s="254" t="str">
        <x:v>002273</x:v>
      </x:c>
      <x:c r="C59" s="240" t="str">
        <x:v>2025A</x:v>
      </x:c>
      <x:c r="D59" s="255" t="n">
        <x:v>69.2846824887</x:v>
      </x:c>
      <x:c r="E59" s="255" t="n">
        <x:v>4.1476318993</x:v>
      </x:c>
      <x:c r="F59" s="255" t="n">
        <x:v>4.1476318993</x:v>
      </x:c>
      <x:c r="G59" s="255" t="n">
        <x:v>0</x:v>
      </x:c>
      <x:c r="H59" s="256" t="n">
        <x:f>IF(D59=0,0,F59/D59)</x:f>
        <x:v>0.059863619927484825</x:v>
      </x:c>
      <x:c r="I59" s="256" t="n">
        <x:f>IF(D59=0,0,E59/D59)</x:f>
        <x:v>0.059863619927484825</x:v>
      </x:c>
      <x:c r="J59" s="240" t="str">
        <x:v>sj2025</x:v>
      </x:c>
      <x:c r="K59" s="245"/>
      <x:c r="L59" s="245"/>
      <x:c r="M59" s="245"/>
      <x:c r="N59" s="245"/>
      <x:c r="O59" s="245"/>
      <x:c r="P59" s="245"/>
      <x:c r="Q59" s="245"/>
    </x:row>
    <x:row r="60" ht="25" customHeight="1">
      <x:c r="A60" s="240" t="str">
        <x:v>水晶光电</x:v>
      </x:c>
      <x:c r="B60" s="254" t="str">
        <x:v>002273</x:v>
      </x:c>
      <x:c r="C60" s="240" t="str">
        <x:v>2025H1</x:v>
      </x:c>
      <x:c r="D60" s="255" t="n">
        <x:v>30.2045977707</x:v>
      </x:c>
      <x:c r="E60" s="255" t="n">
        <x:v>1.9362078243</x:v>
      </x:c>
      <x:c r="F60" s="255" t="n">
        <x:v>1.9362078243</x:v>
      </x:c>
      <x:c r="G60" s="255" t="n">
        <x:v>0</x:v>
      </x:c>
      <x:c r="H60" s="256" t="n">
        <x:f>IF(D60=0,0,F60/D60)</x:f>
        <x:v>0.06410308255050562</x:v>
      </x:c>
      <x:c r="I60" s="256" t="n">
        <x:f>IF(D60=0,0,E60/D60)</x:f>
        <x:v>0.06410308255050562</x:v>
      </x:c>
      <x:c r="J60" s="240" t="str">
        <x:v>sj2026h1</x:v>
      </x:c>
      <x:c r="K60" s="245"/>
      <x:c r="L60" s="245"/>
      <x:c r="M60" s="245"/>
      <x:c r="N60" s="245"/>
      <x:c r="O60" s="245"/>
      <x:c r="P60" s="245"/>
      <x:c r="Q60" s="245"/>
    </x:row>
    <x:row r="61" ht="25" customHeight="1">
      <x:c r="A61" s="240" t="str">
        <x:v>水晶光电</x:v>
      </x:c>
      <x:c r="B61" s="254" t="str">
        <x:v>002273</x:v>
      </x:c>
      <x:c r="C61" s="240" t="str">
        <x:v>2026H1</x:v>
      </x:c>
      <x:c r="D61" s="255" t="n">
        <x:v>34.7817650549</x:v>
      </x:c>
      <x:c r="E61" s="255" t="n">
        <x:v>2.8182631583999997</x:v>
      </x:c>
      <x:c r="F61" s="255" t="n">
        <x:v>2.8182631583999997</x:v>
      </x:c>
      <x:c r="G61" s="255" t="n">
        <x:v>0</x:v>
      </x:c>
      <x:c r="H61" s="256" t="n">
        <x:f>IF(D61=0,0,F61/D61)</x:f>
        <x:v>0.08102703108803179</x:v>
      </x:c>
      <x:c r="I61" s="256" t="n">
        <x:f>IF(D61=0,0,E61/D61)</x:f>
        <x:v>0.08102703108803179</x:v>
      </x:c>
      <x:c r="J61" s="240" t="str">
        <x:v>sj2026h1</x:v>
      </x:c>
      <x:c r="K61" s="245"/>
      <x:c r="L61" s="245"/>
      <x:c r="M61" s="245"/>
      <x:c r="N61" s="245"/>
      <x:c r="O61" s="245"/>
      <x:c r="P61" s="245"/>
      <x:c r="Q61" s="245"/>
    </x:row>
    <x:row r="62">
      <x:c r="A62" s="245"/>
      <x:c r="B62" s="245"/>
      <x:c r="C62" s="245"/>
      <x:c r="D62" s="245"/>
      <x:c r="E62" s="245"/>
      <x:c r="F62" s="245"/>
      <x:c r="G62" s="245"/>
      <x:c r="H62" s="245"/>
      <x:c r="I62" s="245"/>
      <x:c r="J62" s="245"/>
      <x:c r="K62" s="245"/>
      <x:c r="L62" s="245"/>
      <x:c r="M62" s="245"/>
      <x:c r="N62" s="245"/>
      <x:c r="O62" s="245"/>
      <x:c r="P62" s="245"/>
      <x:c r="Q62" s="245"/>
    </x:row>
    <x:row r="63" ht="36" customHeight="1">
      <x:c r="A63" s="192" t="str">
        <x:v>四家公司所列各期研发均费用化。炬光2026H1研发费用包含股份支付，不与利润还原重复加回。年度与半年度分组比较，研发强度需结合产品结构和规模判断。</x:v>
      </x:c>
      <x:c r="B63" s="192"/>
      <x:c r="C63" s="192"/>
      <x:c r="D63" s="192"/>
      <x:c r="E63" s="192"/>
      <x:c r="F63" s="192"/>
      <x:c r="G63" s="192"/>
      <x:c r="H63" s="192"/>
      <x:c r="I63" s="192"/>
      <x:c r="J63" s="192"/>
      <x:c r="K63" s="192"/>
      <x:c r="L63" s="192"/>
      <x:c r="M63" s="192"/>
      <x:c r="N63" s="192"/>
      <x:c r="O63" s="192"/>
      <x:c r="P63" s="245"/>
      <x:c r="Q63" s="245"/>
    </x:row>
    <x:row r="64">
      <x:c r="A64" s="245"/>
      <x:c r="B64" s="245"/>
      <x:c r="C64" s="245"/>
      <x:c r="D64" s="245"/>
      <x:c r="E64" s="245"/>
      <x:c r="F64" s="245"/>
      <x:c r="G64" s="245"/>
      <x:c r="H64" s="245"/>
      <x:c r="I64" s="245"/>
      <x:c r="J64" s="245"/>
      <x:c r="K64" s="245"/>
      <x:c r="L64" s="245"/>
      <x:c r="M64" s="245"/>
      <x:c r="N64" s="245"/>
      <x:c r="O64" s="245"/>
      <x:c r="P64" s="245"/>
      <x:c r="Q64" s="245"/>
    </x:row>
    <x:row r="65">
      <x:c r="A65" s="245"/>
      <x:c r="B65" s="245"/>
      <x:c r="C65" s="245"/>
      <x:c r="D65" s="245"/>
      <x:c r="E65" s="245"/>
      <x:c r="F65" s="245"/>
      <x:c r="G65" s="245"/>
      <x:c r="H65" s="245"/>
      <x:c r="I65" s="245"/>
      <x:c r="J65" s="245"/>
      <x:c r="K65" s="245"/>
      <x:c r="L65" s="245"/>
      <x:c r="M65" s="245"/>
      <x:c r="N65" s="245"/>
      <x:c r="O65" s="245"/>
      <x:c r="P65" s="245"/>
      <x:c r="Q65" s="245"/>
    </x:row>
    <x:row r="66">
      <x:c r="A66" s="245"/>
      <x:c r="B66" s="245"/>
      <x:c r="C66" s="245"/>
      <x:c r="D66" s="245"/>
      <x:c r="E66" s="245"/>
      <x:c r="F66" s="245"/>
      <x:c r="G66" s="245"/>
      <x:c r="H66" s="245"/>
      <x:c r="I66" s="245"/>
      <x:c r="J66" s="245"/>
      <x:c r="K66" s="245"/>
      <x:c r="L66" s="245"/>
      <x:c r="M66" s="245"/>
      <x:c r="N66" s="245"/>
      <x:c r="O66" s="245"/>
      <x:c r="P66" s="245"/>
      <x:c r="Q66" s="245"/>
    </x:row>
    <x:row r="67" ht="28" customHeight="1">
      <x:c r="A67" s="176" t="str">
        <x:v>固定资产、在建工程与营运资本｜期末余额</x:v>
      </x:c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245"/>
      <x:c r="Q67" s="245"/>
    </x:row>
    <x:row r="68">
      <x:c r="A68" s="245"/>
      <x:c r="B68" s="245"/>
      <x:c r="C68" s="245"/>
      <x:c r="D68" s="245"/>
      <x:c r="E68" s="245"/>
      <x:c r="F68" s="245"/>
      <x:c r="G68" s="245"/>
      <x:c r="H68" s="245"/>
      <x:c r="I68" s="245"/>
      <x:c r="J68" s="245"/>
      <x:c r="K68" s="245"/>
      <x:c r="L68" s="245"/>
      <x:c r="M68" s="245"/>
      <x:c r="N68" s="245"/>
      <x:c r="O68" s="245"/>
      <x:c r="P68" s="245"/>
      <x:c r="Q68" s="245"/>
    </x:row>
    <x:row r="69" ht="46" customHeight="1">
      <x:c r="A69" s="176" t="str">
        <x:v>期末</x:v>
      </x:c>
      <x:c r="B69" s="176" t="str">
        <x:v>固定资产净额</x:v>
      </x:c>
      <x:c r="C69" s="176" t="str">
        <x:v>在建工程</x:v>
      </x:c>
      <x:c r="D69" s="176" t="str">
        <x:v>固定资产＋在建</x:v>
      </x:c>
      <x:c r="E69" s="176" t="str">
        <x:v>在建工程占比</x:v>
      </x:c>
      <x:c r="F69" s="176" t="str">
        <x:v>存货账面余额</x:v>
      </x:c>
      <x:c r="G69" s="176" t="str">
        <x:v>存货跌价准备</x:v>
      </x:c>
      <x:c r="H69" s="176" t="str">
        <x:v>存货净额</x:v>
      </x:c>
      <x:c r="I69" s="176" t="str">
        <x:v>存货减值率</x:v>
      </x:c>
      <x:c r="J69" s="176" t="str">
        <x:v>应收账款</x:v>
      </x:c>
      <x:c r="K69" s="176" t="str">
        <x:v>合同负债</x:v>
      </x:c>
      <x:c r="L69" s="176" t="str">
        <x:v>来源ID</x:v>
      </x:c>
      <x:c r="M69" s="176" t="str">
        <x:v>存货勾稽差</x:v>
      </x:c>
      <x:c r="N69" s="245"/>
      <x:c r="O69" s="245"/>
      <x:c r="P69" s="245"/>
      <x:c r="Q69" s="245"/>
    </x:row>
    <x:row r="70" ht="30" customHeight="1">
      <x:c r="A70" s="240" t="str">
        <x:v>2023年末</x:v>
      </x:c>
      <x:c r="B70" s="255" t="n">
        <x:v>3.2919968844</x:v>
      </x:c>
      <x:c r="C70" s="255" t="n">
        <x:v>0.6039265276</x:v>
      </x:c>
      <x:c r="D70" s="257" t="n">
        <x:f>SUM(B70:C70)</x:f>
        <x:v>3.895923412</x:v>
      </x:c>
      <x:c r="E70" s="256" t="n">
        <x:f>IF(D70=0,0,C70/D70)</x:f>
        <x:v>0.15501498970432018</x:v>
      </x:c>
      <x:c r="F70" s="255" t="n">
        <x:v>2.6590827912</x:v>
      </x:c>
      <x:c r="G70" s="255" t="n">
        <x:v>0.6104347155</x:v>
      </x:c>
      <x:c r="H70" s="255" t="n">
        <x:v>2.0486480757</x:v>
      </x:c>
      <x:c r="I70" s="256" t="n">
        <x:f>IF(F70=0,0,G70/F70)</x:f>
        <x:v>0.22956589299144045</x:v>
      </x:c>
      <x:c r="J70" s="255" t="n">
        <x:v>1.5516177534</x:v>
      </x:c>
      <x:c r="K70" s="255" t="n">
        <x:v>0.1328245834</x:v>
      </x:c>
      <x:c r="L70" s="258" t="str">
        <x:v>jg2024</x:v>
      </x:c>
      <x:c r="M70" s="259" t="n">
        <x:f>F70-G70-H70</x:f>
        <x:v>0</x:v>
      </x:c>
      <x:c r="N70" s="245"/>
      <x:c r="O70" s="245"/>
      <x:c r="P70" s="245"/>
      <x:c r="Q70" s="245"/>
    </x:row>
    <x:row r="71" ht="30" customHeight="1">
      <x:c r="A71" s="240" t="str">
        <x:v>2024年末</x:v>
      </x:c>
      <x:c r="B71" s="255" t="n">
        <x:v>6.8383080914</x:v>
      </x:c>
      <x:c r="C71" s="255" t="n">
        <x:v>1.5885926147</x:v>
      </x:c>
      <x:c r="D71" s="257" t="n">
        <x:f>SUM(B71:C71)</x:f>
        <x:v>8.4269007061</x:v>
      </x:c>
      <x:c r="E71" s="256" t="n">
        <x:f>IF(D71=0,0,C71/D71)</x:f>
        <x:v>0.1885144574624051</x:v>
      </x:c>
      <x:c r="F71" s="255" t="n">
        <x:v>3.9307437625</x:v>
      </x:c>
      <x:c r="G71" s="255" t="n">
        <x:v>0.7235555488</x:v>
      </x:c>
      <x:c r="H71" s="255" t="n">
        <x:v>3.2071882137</x:v>
      </x:c>
      <x:c r="I71" s="256" t="n">
        <x:f>IF(F71=0,0,G71/F71)</x:f>
        <x:v>0.184075989817207</x:v>
      </x:c>
      <x:c r="J71" s="255" t="n">
        <x:v>1.4699668029</x:v>
      </x:c>
      <x:c r="K71" s="255" t="n">
        <x:v>0.15529056789999998</x:v>
      </x:c>
      <x:c r="L71" s="258" t="str">
        <x:v>jg2025</x:v>
      </x:c>
      <x:c r="M71" s="259" t="n">
        <x:f>F71-G71-H71</x:f>
        <x:v>4.440892098500626e-16</x:v>
      </x:c>
      <x:c r="N71" s="245"/>
      <x:c r="O71" s="245"/>
      <x:c r="P71" s="245"/>
      <x:c r="Q71" s="245"/>
    </x:row>
    <x:row r="72" ht="30" customHeight="1">
      <x:c r="A72" s="240" t="str">
        <x:v>2025年末</x:v>
      </x:c>
      <x:c r="B72" s="255" t="n">
        <x:v>6.740824173200001</x:v>
      </x:c>
      <x:c r="C72" s="255" t="n">
        <x:v>2.7877119032</x:v>
      </x:c>
      <x:c r="D72" s="257" t="n">
        <x:f>SUM(B72:C72)</x:f>
        <x:v>9.528536076400002</x:v>
      </x:c>
      <x:c r="E72" s="256" t="n">
        <x:f>IF(D72=0,0,C72/D72)</x:f>
        <x:v>0.2925645535524101</x:v>
      </x:c>
      <x:c r="F72" s="255" t="n">
        <x:v>3.6205053287999998</x:v>
      </x:c>
      <x:c r="G72" s="255" t="n">
        <x:v>0.7419777403</x:v>
      </x:c>
      <x:c r="H72" s="255" t="n">
        <x:v>2.8785275885000003</x:v>
      </x:c>
      <x:c r="I72" s="256" t="n">
        <x:f>IF(F72=0,0,G72/F72)</x:f>
        <x:v>0.2049376186240624</x:v>
      </x:c>
      <x:c r="J72" s="255" t="n">
        <x:v>2.0623988096</x:v>
      </x:c>
      <x:c r="K72" s="255" t="n">
        <x:v>0.39232675520000004</x:v>
      </x:c>
      <x:c r="L72" s="258" t="str">
        <x:v>jg2026h1</x:v>
      </x:c>
      <x:c r="M72" s="259" t="n">
        <x:f>F72-G72-H72</x:f>
        <x:v>-4.440892098500626e-16</x:v>
      </x:c>
      <x:c r="N72" s="245"/>
      <x:c r="O72" s="245"/>
      <x:c r="P72" s="245"/>
      <x:c r="Q72" s="245"/>
    </x:row>
    <x:row r="73" ht="30" customHeight="1">
      <x:c r="A73" s="240" t="str">
        <x:v>2026年6月末</x:v>
      </x:c>
      <x:c r="B73" s="255" t="n">
        <x:v>6.5003779427</x:v>
      </x:c>
      <x:c r="C73" s="255" t="n">
        <x:v>3.8023646283</x:v>
      </x:c>
      <x:c r="D73" s="257" t="n">
        <x:f>SUM(B73:C73)</x:f>
        <x:v>10.302742571</x:v>
      </x:c>
      <x:c r="E73" s="256" t="n">
        <x:f>IF(D73=0,0,C73/D73)</x:f>
        <x:v>0.36906334425969617</x:v>
      </x:c>
      <x:c r="F73" s="255" t="n">
        <x:v>3.8354068198</x:v>
      </x:c>
      <x:c r="G73" s="255" t="n">
        <x:v>0.9113301309999999</x:v>
      </x:c>
      <x:c r="H73" s="255" t="n">
        <x:v>2.9240766888</x:v>
      </x:c>
      <x:c r="I73" s="256" t="n">
        <x:f>IF(F73=0,0,G73/F73)</x:f>
        <x:v>0.23760976965867778</x:v>
      </x:c>
      <x:c r="J73" s="255" t="n">
        <x:v>2.022097547</x:v>
      </x:c>
      <x:c r="K73" s="255" t="n">
        <x:v>0.2804780138</x:v>
      </x:c>
      <x:c r="L73" s="258" t="str">
        <x:v>jg2026h1</x:v>
      </x:c>
      <x:c r="M73" s="259" t="n">
        <x:f>F73-G73-H73</x:f>
        <x:v>4.440892098500626e-16</x:v>
      </x:c>
      <x:c r="N73" s="245"/>
      <x:c r="O73" s="245"/>
      <x:c r="P73" s="245"/>
      <x:c r="Q73" s="245"/>
    </x:row>
    <x:row r="74">
      <x:c r="A74" s="245"/>
      <x:c r="B74" s="245"/>
      <x:c r="C74" s="245"/>
      <x:c r="D74" s="245"/>
      <x:c r="E74" s="245"/>
      <x:c r="F74" s="245"/>
      <x:c r="G74" s="245"/>
      <x:c r="H74" s="245"/>
      <x:c r="I74" s="245"/>
      <x:c r="J74" s="245"/>
      <x:c r="K74" s="245"/>
      <x:c r="L74" s="245"/>
      <x:c r="M74" s="245"/>
      <x:c r="N74" s="245"/>
      <x:c r="O74" s="245"/>
      <x:c r="P74" s="245"/>
      <x:c r="Q74" s="245"/>
    </x:row>
    <x:row r="75" ht="28" customHeight="1">
      <x:c r="A75" s="176" t="str">
        <x:v>现金投入｜经营现金流与购建长期资产支付的现金</x:v>
      </x:c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245"/>
      <x:c r="Q75" s="245"/>
    </x:row>
    <x:row r="76">
      <x:c r="A76" s="245"/>
      <x:c r="B76" s="245"/>
      <x:c r="C76" s="245"/>
      <x:c r="D76" s="245"/>
      <x:c r="E76" s="245"/>
      <x:c r="F76" s="245"/>
      <x:c r="G76" s="245"/>
      <x:c r="H76" s="245"/>
      <x:c r="I76" s="245"/>
      <x:c r="J76" s="245"/>
      <x:c r="K76" s="245"/>
      <x:c r="L76" s="245"/>
      <x:c r="M76" s="245"/>
      <x:c r="N76" s="245"/>
      <x:c r="O76" s="245"/>
      <x:c r="P76" s="245"/>
      <x:c r="Q76" s="245"/>
    </x:row>
    <x:row r="77">
      <x:c r="A77" s="176" t="str">
        <x:v>报告期</x:v>
      </x:c>
      <x:c r="B77" s="176" t="str">
        <x:v>经营现金流净额</x:v>
      </x:c>
      <x:c r="C77" s="176" t="str">
        <x:v>购建长期资产现金</x:v>
      </x:c>
      <x:c r="D77" s="176" t="str">
        <x:v>经营现金流减购建</x:v>
      </x:c>
      <x:c r="E77" s="176" t="str">
        <x:v>来源ID</x:v>
      </x:c>
      <x:c r="F77" s="176" t="str">
        <x:v>口径</x:v>
      </x:c>
      <x:c r="G77" s="245"/>
      <x:c r="H77" s="245"/>
      <x:c r="I77" s="245"/>
      <x:c r="J77" s="245"/>
      <x:c r="K77" s="245"/>
      <x:c r="L77" s="245"/>
      <x:c r="M77" s="245"/>
      <x:c r="N77" s="245"/>
      <x:c r="O77" s="245"/>
      <x:c r="P77" s="245"/>
      <x:c r="Q77" s="245"/>
    </x:row>
    <x:row r="78" ht="34" customHeight="1">
      <x:c r="A78" s="240" t="str">
        <x:v>2023A</x:v>
      </x:c>
      <x:c r="B78" s="255" t="n">
        <x:v>1.57231213</x:v>
      </x:c>
      <x:c r="C78" s="255" t="n">
        <x:v>1.4106130881</x:v>
      </x:c>
      <x:c r="D78" s="257" t="n">
        <x:f>B78-C78</x:f>
        <x:v>0.16169904189999995</x:v>
      </x:c>
      <x:c r="E78" s="240" t="str">
        <x:v>jg2024</x:v>
      </x:c>
      <x:c r="F78" s="240" t="str">
        <x:v>含固定资产、无形资产及其他长期资产；非完整自由现金流定义</x:v>
      </x:c>
      <x:c r="G78" s="245"/>
      <x:c r="H78" s="245"/>
      <x:c r="I78" s="245"/>
      <x:c r="J78" s="245"/>
      <x:c r="K78" s="245"/>
      <x:c r="L78" s="245"/>
      <x:c r="M78" s="245"/>
      <x:c r="N78" s="245"/>
      <x:c r="O78" s="245"/>
      <x:c r="P78" s="245"/>
      <x:c r="Q78" s="245"/>
    </x:row>
    <x:row r="79" ht="34" customHeight="1">
      <x:c r="A79" s="240" t="str">
        <x:v>2024A</x:v>
      </x:c>
      <x:c r="B79" s="255" t="n">
        <x:v>-0.9762493345000001</x:v>
      </x:c>
      <x:c r="C79" s="255" t="n">
        <x:v>4.6423253601</x:v>
      </x:c>
      <x:c r="D79" s="257" t="n">
        <x:f>B79-C79</x:f>
        <x:v>-5.6185746946</x:v>
      </x:c>
      <x:c r="E79" s="240" t="str">
        <x:v>jg2025</x:v>
      </x:c>
      <x:c r="F79" s="240" t="str">
        <x:v>含固定资产、无形资产及其他长期资产；非完整自由现金流定义</x:v>
      </x:c>
      <x:c r="G79" s="245"/>
      <x:c r="H79" s="245"/>
      <x:c r="I79" s="245"/>
      <x:c r="J79" s="245"/>
      <x:c r="K79" s="245"/>
      <x:c r="L79" s="245"/>
      <x:c r="M79" s="245"/>
      <x:c r="N79" s="245"/>
      <x:c r="O79" s="245"/>
      <x:c r="P79" s="245"/>
      <x:c r="Q79" s="245"/>
    </x:row>
    <x:row r="80" ht="34" customHeight="1">
      <x:c r="A80" s="240" t="str">
        <x:v>2025A</x:v>
      </x:c>
      <x:c r="B80" s="255" t="n">
        <x:v>1.723137282</x:v>
      </x:c>
      <x:c r="C80" s="255" t="n">
        <x:v>2.1411665192</x:v>
      </x:c>
      <x:c r="D80" s="257" t="n">
        <x:f>B80-C80</x:f>
        <x:v>-0.41802923720000007</x:v>
      </x:c>
      <x:c r="E80" s="240" t="str">
        <x:v>jg2025</x:v>
      </x:c>
      <x:c r="F80" s="240" t="str">
        <x:v>含固定资产、无形资产及其他长期资产；非完整自由现金流定义</x:v>
      </x:c>
      <x:c r="G80" s="245"/>
      <x:c r="H80" s="245"/>
      <x:c r="I80" s="245"/>
      <x:c r="J80" s="245"/>
      <x:c r="K80" s="245"/>
      <x:c r="L80" s="245"/>
      <x:c r="M80" s="245"/>
      <x:c r="N80" s="245"/>
      <x:c r="O80" s="245"/>
      <x:c r="P80" s="245"/>
      <x:c r="Q80" s="245"/>
    </x:row>
    <x:row r="81" ht="34" customHeight="1">
      <x:c r="A81" s="240" t="str">
        <x:v>2025H1</x:v>
      </x:c>
      <x:c r="B81" s="255" t="n">
        <x:v>0.15894520380000002</x:v>
      </x:c>
      <x:c r="C81" s="255" t="n">
        <x:v>0.8971840709000001</x:v>
      </x:c>
      <x:c r="D81" s="257" t="n">
        <x:f>B81-C81</x:f>
        <x:v>-0.7382388671000001</x:v>
      </x:c>
      <x:c r="E81" s="240" t="str">
        <x:v>jg2026h1</x:v>
      </x:c>
      <x:c r="F81" s="240" t="str">
        <x:v>含固定资产、无形资产及其他长期资产；非完整自由现金流定义</x:v>
      </x:c>
      <x:c r="G81" s="245"/>
      <x:c r="H81" s="245"/>
      <x:c r="I81" s="245"/>
      <x:c r="J81" s="245"/>
      <x:c r="K81" s="245"/>
      <x:c r="L81" s="245"/>
      <x:c r="M81" s="245"/>
      <x:c r="N81" s="245"/>
      <x:c r="O81" s="245"/>
      <x:c r="P81" s="245"/>
      <x:c r="Q81" s="245"/>
    </x:row>
    <x:row r="82" ht="34" customHeight="1">
      <x:c r="A82" s="240" t="str">
        <x:v>2026H1</x:v>
      </x:c>
      <x:c r="B82" s="255" t="n">
        <x:v>0.295032254</x:v>
      </x:c>
      <x:c r="C82" s="255" t="n">
        <x:v>1.0114036656999998</x:v>
      </x:c>
      <x:c r="D82" s="257" t="n">
        <x:f>B82-C82</x:f>
        <x:v>-0.7163714116999998</x:v>
      </x:c>
      <x:c r="E82" s="240" t="str">
        <x:v>jg2026h1</x:v>
      </x:c>
      <x:c r="F82" s="240" t="str">
        <x:v>含固定资产、无形资产及其他长期资产；非完整自由现金流定义</x:v>
      </x:c>
      <x:c r="G82" s="245"/>
      <x:c r="H82" s="245"/>
      <x:c r="I82" s="245"/>
      <x:c r="J82" s="245"/>
      <x:c r="K82" s="245"/>
      <x:c r="L82" s="245"/>
      <x:c r="M82" s="245"/>
      <x:c r="N82" s="245"/>
      <x:c r="O82" s="245"/>
      <x:c r="P82" s="245"/>
      <x:c r="Q82" s="245"/>
    </x:row>
    <x:row r="83">
      <x:c r="A83" s="245"/>
      <x:c r="B83" s="245"/>
      <x:c r="C83" s="245"/>
      <x:c r="D83" s="245"/>
      <x:c r="E83" s="245"/>
      <x:c r="F83" s="245"/>
      <x:c r="G83" s="245"/>
      <x:c r="H83" s="245"/>
      <x:c r="I83" s="245"/>
      <x:c r="J83" s="245"/>
      <x:c r="K83" s="245"/>
      <x:c r="L83" s="245"/>
      <x:c r="M83" s="245"/>
      <x:c r="N83" s="245"/>
      <x:c r="O83" s="245"/>
      <x:c r="P83" s="245"/>
      <x:c r="Q83" s="245"/>
    </x:row>
    <x:row r="84" ht="28" customHeight="1">
      <x:c r="A84" s="176" t="str">
        <x:v>2026H1研发费用构成与人才基础</x:v>
      </x:c>
      <x:c r="B84" s="176"/>
      <x:c r="C84" s="176"/>
      <x:c r="D84" s="176"/>
      <x:c r="E84" s="176"/>
      <x:c r="F84" s="176"/>
      <x:c r="G84" s="176"/>
      <x:c r="H84" s="176"/>
      <x:c r="I84" s="176"/>
      <x:c r="J84" s="176"/>
      <x:c r="K84" s="176"/>
      <x:c r="L84" s="176"/>
      <x:c r="M84" s="176"/>
      <x:c r="N84" s="176"/>
      <x:c r="O84" s="176"/>
      <x:c r="P84" s="245"/>
      <x:c r="Q84" s="245"/>
    </x:row>
    <x:row r="85">
      <x:c r="A85" s="245"/>
      <x:c r="B85" s="245"/>
      <x:c r="C85" s="245"/>
      <x:c r="D85" s="245"/>
      <x:c r="E85" s="245"/>
      <x:c r="F85" s="245"/>
      <x:c r="G85" s="245"/>
      <x:c r="H85" s="245"/>
      <x:c r="I85" s="245"/>
      <x:c r="J85" s="245"/>
      <x:c r="K85" s="245"/>
      <x:c r="L85" s="245"/>
      <x:c r="M85" s="245"/>
      <x:c r="N85" s="245"/>
      <x:c r="O85" s="245"/>
      <x:c r="P85" s="245"/>
      <x:c r="Q85" s="245"/>
    </x:row>
    <x:row r="86">
      <x:c r="A86" s="176" t="str">
        <x:v>指标</x:v>
      </x:c>
      <x:c r="B86" s="176" t="str">
        <x:v>数值</x:v>
      </x:c>
      <x:c r="C86" s="176" t="str">
        <x:v>单位</x:v>
      </x:c>
      <x:c r="D86" s="176" t="str">
        <x:v>报告期</x:v>
      </x:c>
      <x:c r="E86" s="176" t="str">
        <x:v>来源ID</x:v>
      </x:c>
      <x:c r="F86" s="176" t="str">
        <x:v>含义</x:v>
      </x:c>
      <x:c r="G86" s="245"/>
      <x:c r="H86" s="245"/>
      <x:c r="I86" s="245"/>
      <x:c r="J86" s="245"/>
      <x:c r="K86" s="245"/>
      <x:c r="L86" s="245"/>
      <x:c r="M86" s="245"/>
      <x:c r="N86" s="245"/>
      <x:c r="O86" s="245"/>
      <x:c r="P86" s="245"/>
      <x:c r="Q86" s="245"/>
    </x:row>
    <x:row r="87" ht="28" customHeight="1">
      <x:c r="A87" s="240" t="str">
        <x:v>研发职工薪酬</x:v>
      </x:c>
      <x:c r="B87" s="255" t="n">
        <x:v>0.450925465</x:v>
      </x:c>
      <x:c r="C87" s="240" t="str">
        <x:v>亿元</x:v>
      </x:c>
      <x:c r="D87" s="240" t="str">
        <x:v>2026H1</x:v>
      </x:c>
      <x:c r="E87" s="240" t="str">
        <x:v>jg2026h1</x:v>
      </x:c>
      <x:c r="F87" s="240" t="str">
        <x:v>研发费用明细，不等同于全部研发投入</x:v>
      </x:c>
      <x:c r="G87" s="245"/>
      <x:c r="H87" s="245"/>
      <x:c r="I87" s="245"/>
      <x:c r="J87" s="245"/>
      <x:c r="K87" s="245"/>
      <x:c r="L87" s="245"/>
      <x:c r="M87" s="245"/>
      <x:c r="N87" s="245"/>
      <x:c r="O87" s="245"/>
      <x:c r="P87" s="245"/>
      <x:c r="Q87" s="245"/>
    </x:row>
    <x:row r="88" ht="28" customHeight="1">
      <x:c r="A88" s="240" t="str">
        <x:v>上年同期研发职工薪酬</x:v>
      </x:c>
      <x:c r="B88" s="255" t="n">
        <x:v>0.5325348013</x:v>
      </x:c>
      <x:c r="C88" s="240" t="str">
        <x:v>亿元</x:v>
      </x:c>
      <x:c r="D88" s="240" t="str">
        <x:v>2025H1</x:v>
      </x:c>
      <x:c r="E88" s="240" t="str">
        <x:v>jg2026h1</x:v>
      </x:c>
      <x:c r="F88" s="240" t="str">
        <x:v>可比基期</x:v>
      </x:c>
      <x:c r="G88" s="245"/>
      <x:c r="H88" s="245"/>
      <x:c r="I88" s="245"/>
      <x:c r="J88" s="245"/>
      <x:c r="K88" s="245"/>
      <x:c r="L88" s="245"/>
      <x:c r="M88" s="245"/>
      <x:c r="N88" s="245"/>
      <x:c r="O88" s="245"/>
      <x:c r="P88" s="245"/>
      <x:c r="Q88" s="245"/>
    </x:row>
    <x:row r="89" ht="28" customHeight="1">
      <x:c r="A89" s="240" t="str">
        <x:v>研发股份支付</x:v>
      </x:c>
      <x:c r="B89" s="255" t="n">
        <x:v>0.1155198943</x:v>
      </x:c>
      <x:c r="C89" s="240" t="str">
        <x:v>亿元</x:v>
      </x:c>
      <x:c r="D89" s="240" t="str">
        <x:v>2026H1</x:v>
      </x:c>
      <x:c r="E89" s="240" t="str">
        <x:v>jg2026h1</x:v>
      </x:c>
      <x:c r="F89" s="240" t="str">
        <x:v>已计入研发费用，不与其他利润还原重复加回</x:v>
      </x:c>
      <x:c r="G89" s="245"/>
      <x:c r="H89" s="245"/>
      <x:c r="I89" s="245"/>
      <x:c r="J89" s="245"/>
      <x:c r="K89" s="245"/>
      <x:c r="L89" s="245"/>
      <x:c r="M89" s="245"/>
      <x:c r="N89" s="245"/>
      <x:c r="O89" s="245"/>
      <x:c r="P89" s="245"/>
      <x:c r="Q89" s="245"/>
    </x:row>
    <x:row r="90" ht="28" customHeight="1">
      <x:c r="A90" s="240" t="str">
        <x:v>研发折旧与摊销</x:v>
      </x:c>
      <x:c r="B90" s="255" t="n">
        <x:v>0.1608242597</x:v>
      </x:c>
      <x:c r="C90" s="240" t="str">
        <x:v>亿元</x:v>
      </x:c>
      <x:c r="D90" s="240" t="str">
        <x:v>2026H1</x:v>
      </x:c>
      <x:c r="E90" s="240" t="str">
        <x:v>jg2026h1</x:v>
      </x:c>
      <x:c r="F90" s="240" t="str">
        <x:v>研发设施形成当期费用</x:v>
      </x:c>
      <x:c r="G90" s="245"/>
      <x:c r="H90" s="245"/>
      <x:c r="I90" s="245"/>
      <x:c r="J90" s="245"/>
      <x:c r="K90" s="245"/>
      <x:c r="L90" s="245"/>
      <x:c r="M90" s="245"/>
      <x:c r="N90" s="245"/>
      <x:c r="O90" s="245"/>
      <x:c r="P90" s="245"/>
      <x:c r="Q90" s="245"/>
    </x:row>
    <x:row r="91" ht="28" customHeight="1">
      <x:c r="A91" s="240" t="str">
        <x:v>研发材料及模具</x:v>
      </x:c>
      <x:c r="B91" s="255" t="n">
        <x:v>0.10128520880000001</x:v>
      </x:c>
      <x:c r="C91" s="240" t="str">
        <x:v>亿元</x:v>
      </x:c>
      <x:c r="D91" s="240" t="str">
        <x:v>2026H1</x:v>
      </x:c>
      <x:c r="E91" s="240" t="str">
        <x:v>jg2026h1</x:v>
      </x:c>
      <x:c r="F91" s="240" t="str">
        <x:v>试验及项目消耗</x:v>
      </x:c>
      <x:c r="G91" s="245"/>
      <x:c r="H91" s="245"/>
      <x:c r="I91" s="245"/>
      <x:c r="J91" s="245"/>
      <x:c r="K91" s="245"/>
      <x:c r="L91" s="245"/>
      <x:c r="M91" s="245"/>
      <x:c r="N91" s="245"/>
      <x:c r="O91" s="245"/>
      <x:c r="P91" s="245"/>
      <x:c r="Q91" s="245"/>
    </x:row>
    <x:row r="92" ht="28" customHeight="1">
      <x:c r="A92" s="240" t="str">
        <x:v>研发人员</x:v>
      </x:c>
      <x:c r="B92" s="260" t="n">
        <x:v>202</x:v>
      </x:c>
      <x:c r="C92" s="240" t="str">
        <x:v>人</x:v>
      </x:c>
      <x:c r="D92" s="240" t="str">
        <x:v>2026H1</x:v>
      </x:c>
      <x:c r="E92" s="240" t="str">
        <x:v>jg2026h1</x:v>
      </x:c>
      <x:c r="F92" s="240" t="str">
        <x:v>期末研发人员</x:v>
      </x:c>
      <x:c r="G92" s="245"/>
      <x:c r="H92" s="245"/>
      <x:c r="I92" s="245"/>
      <x:c r="J92" s="245"/>
      <x:c r="K92" s="245"/>
      <x:c r="L92" s="245"/>
      <x:c r="M92" s="245"/>
      <x:c r="N92" s="245"/>
      <x:c r="O92" s="245"/>
      <x:c r="P92" s="245"/>
      <x:c r="Q92" s="245"/>
    </x:row>
    <x:row r="93" ht="28" customHeight="1">
      <x:c r="A93" s="240" t="str">
        <x:v>博士及硕士研发人员</x:v>
      </x:c>
      <x:c r="B93" s="260" t="n">
        <x:v>94</x:v>
      </x:c>
      <x:c r="C93" s="240" t="str">
        <x:v>人</x:v>
      </x:c>
      <x:c r="D93" s="240" t="str">
        <x:v>2026H1</x:v>
      </x:c>
      <x:c r="E93" s="240" t="str">
        <x:v>jg2026h1</x:v>
      </x:c>
      <x:c r="F93" s="240" t="str">
        <x:v>人才结构</x:v>
      </x:c>
      <x:c r="G93" s="245"/>
      <x:c r="H93" s="245"/>
      <x:c r="I93" s="245"/>
      <x:c r="J93" s="245"/>
      <x:c r="K93" s="245"/>
      <x:c r="L93" s="245"/>
      <x:c r="M93" s="245"/>
      <x:c r="N93" s="245"/>
      <x:c r="O93" s="245"/>
      <x:c r="P93" s="245"/>
      <x:c r="Q93" s="245"/>
    </x:row>
    <x:row r="94">
      <x:c r="A94" s="245"/>
      <x:c r="B94" s="245"/>
      <x:c r="C94" s="245"/>
      <x:c r="D94" s="245"/>
      <x:c r="E94" s="245"/>
      <x:c r="F94" s="245"/>
      <x:c r="G94" s="245"/>
      <x:c r="H94" s="245"/>
      <x:c r="I94" s="245"/>
      <x:c r="J94" s="245"/>
      <x:c r="K94" s="245"/>
      <x:c r="L94" s="245"/>
      <x:c r="M94" s="245"/>
      <x:c r="N94" s="245"/>
      <x:c r="O94" s="245"/>
      <x:c r="P94" s="245"/>
      <x:c r="Q94" s="245"/>
    </x:row>
    <x:row r="95">
      <x:c r="A95" s="245"/>
      <x:c r="B95" s="245"/>
      <x:c r="C95" s="245"/>
      <x:c r="D95" s="245"/>
      <x:c r="E95" s="245"/>
      <x:c r="F95" s="245"/>
      <x:c r="G95" s="245"/>
      <x:c r="H95" s="245"/>
      <x:c r="I95" s="245"/>
      <x:c r="J95" s="245"/>
      <x:c r="K95" s="245"/>
      <x:c r="L95" s="245"/>
      <x:c r="M95" s="245"/>
      <x:c r="N95" s="245"/>
      <x:c r="O95" s="245"/>
      <x:c r="P95" s="245"/>
      <x:c r="Q95" s="245"/>
    </x:row>
    <x:row r="96" ht="28" customHeight="1">
      <x:c r="A96" s="176" t="str">
        <x:v>2026H1工程与交付指标｜披露项目明细</x:v>
      </x:c>
      <x:c r="B96" s="176"/>
      <x:c r="C96" s="176"/>
      <x:c r="D96" s="176"/>
      <x:c r="E96" s="176"/>
      <x:c r="F96" s="176"/>
      <x:c r="G96" s="176"/>
      <x:c r="H96" s="176"/>
      <x:c r="I96" s="176"/>
      <x:c r="J96" s="176"/>
      <x:c r="K96" s="176"/>
      <x:c r="L96" s="176"/>
      <x:c r="M96" s="176"/>
      <x:c r="N96" s="176"/>
      <x:c r="O96" s="176"/>
      <x:c r="P96" s="245"/>
      <x:c r="Q96" s="245"/>
    </x:row>
    <x:row r="97">
      <x:c r="A97" s="245"/>
      <x:c r="B97" s="245"/>
      <x:c r="C97" s="245"/>
      <x:c r="D97" s="245"/>
      <x:c r="E97" s="245"/>
      <x:c r="F97" s="245"/>
      <x:c r="G97" s="245"/>
      <x:c r="H97" s="245"/>
      <x:c r="I97" s="245"/>
      <x:c r="J97" s="245"/>
      <x:c r="K97" s="245"/>
      <x:c r="L97" s="245"/>
      <x:c r="M97" s="245"/>
      <x:c r="N97" s="245"/>
      <x:c r="O97" s="245"/>
      <x:c r="P97" s="245"/>
      <x:c r="Q97" s="245"/>
    </x:row>
    <x:row r="98">
      <x:c r="A98" s="176" t="str">
        <x:v>指标</x:v>
      </x:c>
      <x:c r="B98" s="176" t="str">
        <x:v>数值</x:v>
      </x:c>
      <x:c r="C98" s="176" t="str">
        <x:v>单位</x:v>
      </x:c>
      <x:c r="D98" s="176" t="str">
        <x:v>时点/期间</x:v>
      </x:c>
      <x:c r="E98" s="176" t="str">
        <x:v>来源ID</x:v>
      </x:c>
      <x:c r="F98" s="176" t="str">
        <x:v>含义</x:v>
      </x:c>
      <x:c r="G98" s="245"/>
      <x:c r="H98" s="245"/>
      <x:c r="I98" s="245"/>
      <x:c r="J98" s="245"/>
      <x:c r="K98" s="245"/>
      <x:c r="L98" s="245"/>
      <x:c r="M98" s="245"/>
      <x:c r="N98" s="245"/>
      <x:c r="O98" s="245"/>
      <x:c r="P98" s="245"/>
      <x:c r="Q98" s="245"/>
    </x:row>
    <x:row r="99" ht="30" customHeight="1">
      <x:c r="A99" s="240" t="str">
        <x:v>固定资产原值本期增加</x:v>
      </x:c>
      <x:c r="B99" s="255" t="n">
        <x:v>0.4311882293</x:v>
      </x:c>
      <x:c r="C99" s="240" t="str">
        <x:v>亿元</x:v>
      </x:c>
      <x:c r="D99" s="240" t="str">
        <x:v>2026H1</x:v>
      </x:c>
      <x:c r="E99" s="240" t="str">
        <x:v>jg2026h1</x:v>
      </x:c>
      <x:c r="F99" s="240" t="str">
        <x:v>净额变动同时受折旧、处置和汇率影响</x:v>
      </x:c>
      <x:c r="G99" s="245"/>
      <x:c r="H99" s="245"/>
      <x:c r="I99" s="245"/>
      <x:c r="J99" s="245"/>
      <x:c r="K99" s="245"/>
      <x:c r="L99" s="245"/>
      <x:c r="M99" s="245"/>
      <x:c r="N99" s="245"/>
      <x:c r="O99" s="245"/>
      <x:c r="P99" s="245"/>
      <x:c r="Q99" s="245"/>
    </x:row>
    <x:row r="100" ht="30" customHeight="1">
      <x:c r="A100" s="240" t="str">
        <x:v>固定资产本期计提折旧</x:v>
      </x:c>
      <x:c r="B100" s="255" t="n">
        <x:v>0.5304636282</x:v>
      </x:c>
      <x:c r="C100" s="240" t="str">
        <x:v>亿元</x:v>
      </x:c>
      <x:c r="D100" s="240" t="str">
        <x:v>2026H1</x:v>
      </x:c>
      <x:c r="E100" s="240" t="str">
        <x:v>jg2026h1</x:v>
      </x:c>
      <x:c r="F100" s="240" t="str">
        <x:v>计入不同业务、成本和费用项目</x:v>
      </x:c>
      <x:c r="G100" s="245"/>
      <x:c r="H100" s="245"/>
      <x:c r="I100" s="245"/>
      <x:c r="J100" s="245"/>
      <x:c r="K100" s="245"/>
      <x:c r="L100" s="245"/>
      <x:c r="M100" s="245"/>
      <x:c r="N100" s="245"/>
      <x:c r="O100" s="245"/>
      <x:c r="P100" s="245"/>
      <x:c r="Q100" s="245"/>
    </x:row>
    <x:row r="101" ht="30" customHeight="1">
      <x:c r="A101" s="240" t="str">
        <x:v>在建工程转入固定资产</x:v>
      </x:c>
      <x:c r="B101" s="255" t="n">
        <x:v>0.10332551150000001</x:v>
      </x:c>
      <x:c r="C101" s="240" t="str">
        <x:v>亿元</x:v>
      </x:c>
      <x:c r="D101" s="240" t="str">
        <x:v>2026H1</x:v>
      </x:c>
      <x:c r="E101" s="240" t="str">
        <x:v>jg2026h1</x:v>
      </x:c>
      <x:c r="F101" s="240" t="str">
        <x:v>部分工程达到可使用状态</x:v>
      </x:c>
      <x:c r="G101" s="245"/>
      <x:c r="H101" s="245"/>
      <x:c r="I101" s="245"/>
      <x:c r="J101" s="245"/>
      <x:c r="K101" s="245"/>
      <x:c r="L101" s="245"/>
      <x:c r="M101" s="245"/>
      <x:c r="N101" s="245"/>
      <x:c r="O101" s="245"/>
      <x:c r="P101" s="245"/>
      <x:c r="Q101" s="245"/>
    </x:row>
    <x:row r="102" ht="30" customHeight="1">
      <x:c r="A102" s="240" t="str">
        <x:v>西安二期在建工程</x:v>
      </x:c>
      <x:c r="B102" s="255" t="n">
        <x:v>2.4975592067</x:v>
      </x:c>
      <x:c r="C102" s="240" t="str">
        <x:v>亿元</x:v>
      </x:c>
      <x:c r="D102" s="240" t="str">
        <x:v>2026-06-30</x:v>
      </x:c>
      <x:c r="E102" s="240" t="str">
        <x:v>jg2026h1</x:v>
      </x:c>
      <x:c r="F102" s="240" t="str">
        <x:v>期末工程余额，并非全部归属光通信</x:v>
      </x:c>
      <x:c r="G102" s="245"/>
      <x:c r="H102" s="245"/>
      <x:c r="I102" s="245"/>
      <x:c r="J102" s="245"/>
      <x:c r="K102" s="245"/>
      <x:c r="L102" s="245"/>
      <x:c r="M102" s="245"/>
      <x:c r="N102" s="245"/>
      <x:c r="O102" s="245"/>
      <x:c r="P102" s="245"/>
      <x:c r="Q102" s="245"/>
    </x:row>
    <x:row r="103" ht="30" customHeight="1">
      <x:c r="A103" s="240" t="str">
        <x:v>马来西亚工厂在建工程</x:v>
      </x:c>
      <x:c r="B103" s="255" t="n">
        <x:v>0.7096376659</x:v>
      </x:c>
      <x:c r="C103" s="240" t="str">
        <x:v>亿元</x:v>
      </x:c>
      <x:c r="D103" s="240" t="str">
        <x:v>2026-06-30</x:v>
      </x:c>
      <x:c r="E103" s="240" t="str">
        <x:v>jg2026h1</x:v>
      </x:c>
      <x:c r="F103" s="240" t="str">
        <x:v>期末工程余额</x:v>
      </x:c>
      <x:c r="G103" s="245"/>
      <x:c r="H103" s="245"/>
      <x:c r="I103" s="245"/>
      <x:c r="J103" s="245"/>
      <x:c r="K103" s="245"/>
      <x:c r="L103" s="245"/>
      <x:c r="M103" s="245"/>
      <x:c r="N103" s="245"/>
      <x:c r="O103" s="245"/>
      <x:c r="P103" s="245"/>
      <x:c r="Q103" s="245"/>
    </x:row>
    <x:row r="104" ht="30" customHeight="1">
      <x:c r="A104" s="240" t="str">
        <x:v>硅光相关设备在建工程</x:v>
      </x:c>
      <x:c r="B104" s="255" t="n">
        <x:v>0.051439359399999995</x:v>
      </x:c>
      <x:c r="C104" s="240" t="str">
        <x:v>亿元</x:v>
      </x:c>
      <x:c r="D104" s="240" t="str">
        <x:v>2026-06-30</x:v>
      </x:c>
      <x:c r="E104" s="240" t="str">
        <x:v>jg2026h1</x:v>
      </x:c>
      <x:c r="F104" s="240" t="str">
        <x:v>两项公开设备条目合计</x:v>
      </x:c>
      <x:c r="G104" s="245"/>
      <x:c r="H104" s="245"/>
      <x:c r="I104" s="245"/>
      <x:c r="J104" s="245"/>
      <x:c r="K104" s="245"/>
      <x:c r="L104" s="245"/>
      <x:c r="M104" s="245"/>
      <x:c r="N104" s="245"/>
      <x:c r="O104" s="245"/>
      <x:c r="P104" s="245"/>
      <x:c r="Q104" s="245"/>
    </x:row>
    <x:row r="105" ht="30" customHeight="1">
      <x:c r="A105" s="240" t="str">
        <x:v>MPLA中试线在建工程</x:v>
      </x:c>
      <x:c r="B105" s="255" t="n">
        <x:v>0.050601645099999995</x:v>
      </x:c>
      <x:c r="C105" s="240" t="str">
        <x:v>亿元</x:v>
      </x:c>
      <x:c r="D105" s="240" t="str">
        <x:v>2026-06-30</x:v>
      </x:c>
      <x:c r="E105" s="240" t="str">
        <x:v>jg2026h1</x:v>
      </x:c>
      <x:c r="F105" s="240" t="str">
        <x:v>期末工程余额</x:v>
      </x:c>
      <x:c r="G105" s="245"/>
      <x:c r="H105" s="245"/>
      <x:c r="I105" s="245"/>
      <x:c r="J105" s="245"/>
      <x:c r="K105" s="245"/>
      <x:c r="L105" s="245"/>
      <x:c r="M105" s="245"/>
      <x:c r="N105" s="245"/>
      <x:c r="O105" s="245"/>
      <x:c r="P105" s="245"/>
      <x:c r="Q105" s="245"/>
    </x:row>
    <x:row r="106" ht="30" customHeight="1">
      <x:c r="A106" s="240" t="str">
        <x:v>精密模压自动化项目</x:v>
      </x:c>
      <x:c r="B106" s="255" t="n">
        <x:v>0.028307586800000003</x:v>
      </x:c>
      <x:c r="C106" s="240" t="str">
        <x:v>亿元</x:v>
      </x:c>
      <x:c r="D106" s="240" t="str">
        <x:v>2026-06-30</x:v>
      </x:c>
      <x:c r="E106" s="240" t="str">
        <x:v>jg2026h1</x:v>
      </x:c>
      <x:c r="F106" s="240" t="str">
        <x:v>期末工程余额</x:v>
      </x:c>
      <x:c r="G106" s="245"/>
      <x:c r="H106" s="245"/>
      <x:c r="I106" s="245"/>
      <x:c r="J106" s="245"/>
      <x:c r="K106" s="245"/>
      <x:c r="L106" s="245"/>
      <x:c r="M106" s="245"/>
      <x:c r="N106" s="245"/>
      <x:c r="O106" s="245"/>
      <x:c r="P106" s="245"/>
      <x:c r="Q106" s="245"/>
    </x:row>
    <x:row r="107" ht="30" customHeight="1">
      <x:c r="A107" s="240" t="str">
        <x:v>阵列模具项目</x:v>
      </x:c>
      <x:c r="B107" s="255" t="n">
        <x:v>0.0317151684</x:v>
      </x:c>
      <x:c r="C107" s="240" t="str">
        <x:v>亿元</x:v>
      </x:c>
      <x:c r="D107" s="240" t="str">
        <x:v>2026-06-30</x:v>
      </x:c>
      <x:c r="E107" s="240" t="str">
        <x:v>jg2026h1</x:v>
      </x:c>
      <x:c r="F107" s="240" t="str">
        <x:v>期末工程余额</x:v>
      </x:c>
      <x:c r="G107" s="245"/>
      <x:c r="H107" s="245"/>
      <x:c r="I107" s="245"/>
      <x:c r="J107" s="245"/>
      <x:c r="K107" s="245"/>
      <x:c r="L107" s="245"/>
      <x:c r="M107" s="245"/>
      <x:c r="N107" s="245"/>
      <x:c r="O107" s="245"/>
      <x:c r="P107" s="245"/>
      <x:c r="Q107" s="245"/>
    </x:row>
    <x:row r="108" ht="30" customHeight="1">
      <x:c r="A108" s="240" t="str">
        <x:v>期初合同负债转为收入</x:v>
      </x:c>
      <x:c r="B108" s="255" t="n">
        <x:v>0.1089718</x:v>
      </x:c>
      <x:c r="C108" s="240" t="str">
        <x:v>亿元</x:v>
      </x:c>
      <x:c r="D108" s="240" t="str">
        <x:v>2026H1</x:v>
      </x:c>
      <x:c r="E108" s="240" t="str">
        <x:v>jg2026h1</x:v>
      </x:c>
      <x:c r="F108" s="240" t="str">
        <x:v>合同负债会随交付结转，期末余额不是全部在手订单</x:v>
      </x:c>
      <x:c r="G108" s="245"/>
      <x:c r="H108" s="245"/>
      <x:c r="I108" s="245"/>
      <x:c r="J108" s="245"/>
      <x:c r="K108" s="245"/>
      <x:c r="L108" s="245"/>
      <x:c r="M108" s="245"/>
      <x:c r="N108" s="245"/>
      <x:c r="O108" s="245"/>
      <x:c r="P108" s="245"/>
      <x:c r="Q108" s="245"/>
    </x:row>
    <x:row r="109">
      <x:c r="A109" s="245"/>
      <x:c r="B109" s="245"/>
      <x:c r="C109" s="245"/>
      <x:c r="D109" s="245"/>
      <x:c r="E109" s="245"/>
      <x:c r="F109" s="245"/>
      <x:c r="G109" s="245"/>
      <x:c r="H109" s="245"/>
      <x:c r="I109" s="245"/>
      <x:c r="J109" s="245"/>
      <x:c r="K109" s="245"/>
      <x:c r="L109" s="245"/>
      <x:c r="M109" s="245"/>
      <x:c r="N109" s="245"/>
      <x:c r="O109" s="245"/>
      <x:c r="P109" s="245"/>
      <x:c r="Q109" s="245"/>
    </x:row>
    <x:row r="110">
      <x:c r="A110" s="245"/>
      <x:c r="B110" s="245"/>
      <x:c r="C110" s="245"/>
      <x:c r="D110" s="245"/>
      <x:c r="E110" s="245"/>
      <x:c r="F110" s="245"/>
      <x:c r="G110" s="245"/>
      <x:c r="H110" s="245"/>
      <x:c r="I110" s="245"/>
      <x:c r="J110" s="245"/>
      <x:c r="K110" s="245"/>
      <x:c r="L110" s="245"/>
      <x:c r="M110" s="245"/>
      <x:c r="N110" s="245"/>
      <x:c r="O110" s="245"/>
      <x:c r="P110" s="245"/>
      <x:c r="Q110" s="245"/>
    </x:row>
    <x:row r="111" ht="28" customHeight="1">
      <x:c r="A111" s="176" t="str">
        <x:v>观察指标｜同比与较年末变动分开列示</x:v>
      </x:c>
      <x:c r="B111" s="176"/>
      <x:c r="C111" s="176"/>
      <x:c r="D111" s="176"/>
      <x:c r="E111" s="176"/>
      <x:c r="F111" s="176"/>
      <x:c r="G111" s="176"/>
      <x:c r="H111" s="176"/>
      <x:c r="I111" s="176"/>
      <x:c r="J111" s="176"/>
      <x:c r="K111" s="176"/>
      <x:c r="L111" s="176"/>
      <x:c r="M111" s="176"/>
      <x:c r="N111" s="176"/>
      <x:c r="O111" s="176"/>
      <x:c r="P111" s="245"/>
      <x:c r="Q111" s="245"/>
    </x:row>
    <x:row r="112">
      <x:c r="A112" s="245"/>
      <x:c r="B112" s="245"/>
      <x:c r="C112" s="245"/>
      <x:c r="D112" s="245"/>
      <x:c r="E112" s="245"/>
      <x:c r="F112" s="245"/>
      <x:c r="G112" s="245"/>
      <x:c r="H112" s="245"/>
      <x:c r="I112" s="245"/>
      <x:c r="J112" s="245"/>
      <x:c r="K112" s="245"/>
      <x:c r="L112" s="245"/>
      <x:c r="M112" s="245"/>
      <x:c r="N112" s="245"/>
      <x:c r="O112" s="245"/>
      <x:c r="P112" s="245"/>
      <x:c r="Q112" s="245"/>
    </x:row>
    <x:row r="113">
      <x:c r="A113" s="176" t="str">
        <x:v>指标</x:v>
      </x:c>
      <x:c r="B113" s="176" t="str">
        <x:v>公式结果</x:v>
      </x:c>
      <x:c r="C113" s="176" t="str">
        <x:v>比较基准与解释</x:v>
      </x:c>
      <x:c r="D113" s="245"/>
      <x:c r="E113" s="245"/>
      <x:c r="F113" s="245"/>
      <x:c r="G113" s="245"/>
      <x:c r="H113" s="245"/>
      <x:c r="I113" s="245"/>
      <x:c r="J113" s="245"/>
      <x:c r="K113" s="245"/>
      <x:c r="L113" s="245"/>
      <x:c r="M113" s="245"/>
      <x:c r="N113" s="245"/>
      <x:c r="O113" s="245"/>
      <x:c r="P113" s="245"/>
      <x:c r="Q113" s="245"/>
    </x:row>
    <x:row r="114" ht="28" customHeight="1">
      <x:c r="A114" s="240" t="str">
        <x:v>研发费用同比</x:v>
      </x:c>
      <x:c r="B114" s="256" t="n">
        <x:f>F46/F45-1</x:f>
        <x:v>-0.051421835070598276</x:v>
      </x:c>
      <x:c r="C114" s="240" t="str">
        <x:v>2026H1与2025H1比较；人员薪酬等投入构成发生变化</x:v>
      </x:c>
      <x:c r="D114" s="245"/>
      <x:c r="E114" s="245"/>
      <x:c r="F114" s="245"/>
      <x:c r="G114" s="245"/>
      <x:c r="H114" s="245"/>
      <x:c r="I114" s="245"/>
      <x:c r="J114" s="245"/>
      <x:c r="K114" s="245"/>
      <x:c r="L114" s="245"/>
      <x:c r="M114" s="245"/>
      <x:c r="N114" s="245"/>
      <x:c r="O114" s="245"/>
      <x:c r="P114" s="245"/>
      <x:c r="Q114" s="245"/>
    </x:row>
    <x:row r="115" ht="28" customHeight="1">
      <x:c r="A115" s="240" t="str">
        <x:v>在建工程较年末</x:v>
      </x:c>
      <x:c r="B115" s="256" t="n">
        <x:f>C73/C72-1</x:f>
        <x:v>0.3639733086963848</x:v>
      </x:c>
      <x:c r="C115" s="240" t="str">
        <x:v>2026年6月末与2025年末比较</x:v>
      </x:c>
      <x:c r="D115" s="245"/>
      <x:c r="E115" s="245"/>
      <x:c r="F115" s="245"/>
      <x:c r="G115" s="245"/>
      <x:c r="H115" s="245"/>
      <x:c r="I115" s="245"/>
      <x:c r="J115" s="245"/>
      <x:c r="K115" s="245"/>
      <x:c r="L115" s="245"/>
      <x:c r="M115" s="245"/>
      <x:c r="N115" s="245"/>
      <x:c r="O115" s="245"/>
      <x:c r="P115" s="245"/>
      <x:c r="Q115" s="245"/>
    </x:row>
    <x:row r="116" ht="28" customHeight="1">
      <x:c r="A116" s="240" t="str">
        <x:v>西安及马来西亚工程占比</x:v>
      </x:c>
      <x:c r="B116" s="256" t="n">
        <x:f>SUM(B102:B103)/C73</x:f>
        <x:v>0.8434743077320037</x:v>
      </x:c>
      <x:c r="C116" s="240" t="str">
        <x:v>两地工程占期末全部在建工程余额比例</x:v>
      </x:c>
      <x:c r="D116" s="245"/>
      <x:c r="E116" s="245"/>
      <x:c r="F116" s="245"/>
      <x:c r="G116" s="245"/>
      <x:c r="H116" s="245"/>
      <x:c r="I116" s="245"/>
      <x:c r="J116" s="245"/>
      <x:c r="K116" s="245"/>
      <x:c r="L116" s="245"/>
      <x:c r="M116" s="245"/>
      <x:c r="N116" s="245"/>
      <x:c r="O116" s="245"/>
      <x:c r="P116" s="245"/>
      <x:c r="Q116" s="245"/>
    </x:row>
    <x:row r="117" ht="28" customHeight="1">
      <x:c r="A117" s="240" t="str">
        <x:v>存货账面余额较年末</x:v>
      </x:c>
      <x:c r="B117" s="256" t="n">
        <x:f>F73/F72-1</x:f>
        <x:v>0.05935676693817449</x:v>
      </x:c>
      <x:c r="C117" s="240" t="str">
        <x:v>未扣减值的备货余额变动</x:v>
      </x:c>
      <x:c r="D117" s="245"/>
      <x:c r="E117" s="245"/>
      <x:c r="F117" s="245"/>
      <x:c r="G117" s="245"/>
      <x:c r="H117" s="245"/>
      <x:c r="I117" s="245"/>
      <x:c r="J117" s="245"/>
      <x:c r="K117" s="245"/>
      <x:c r="L117" s="245"/>
      <x:c r="M117" s="245"/>
      <x:c r="N117" s="245"/>
      <x:c r="O117" s="245"/>
      <x:c r="P117" s="245"/>
      <x:c r="Q117" s="245"/>
    </x:row>
    <x:row r="118" ht="28" customHeight="1">
      <x:c r="A118" s="240" t="str">
        <x:v>存货净额较年末</x:v>
      </x:c>
      <x:c r="B118" s="256" t="n">
        <x:f>H73/H72-1</x:f>
        <x:v>0.0158237497816498</x:v>
      </x:c>
      <x:c r="C118" s="240" t="str">
        <x:v>扣除跌价准备后的余额变动</x:v>
      </x:c>
      <x:c r="D118" s="245"/>
      <x:c r="E118" s="245"/>
      <x:c r="F118" s="245"/>
      <x:c r="G118" s="245"/>
      <x:c r="H118" s="245"/>
      <x:c r="I118" s="245"/>
      <x:c r="J118" s="245"/>
      <x:c r="K118" s="245"/>
      <x:c r="L118" s="245"/>
      <x:c r="M118" s="245"/>
      <x:c r="N118" s="245"/>
      <x:c r="O118" s="245"/>
      <x:c r="P118" s="245"/>
      <x:c r="Q118" s="245"/>
    </x:row>
    <x:row r="119" ht="28" customHeight="1">
      <x:c r="A119" s="240" t="str">
        <x:v>存货减值率变动</x:v>
      </x:c>
      <x:c r="B119" s="256" t="n">
        <x:f>I73-I72</x:f>
        <x:v>0.032672151034615377</x:v>
      </x:c>
      <x:c r="C119" s="240" t="str">
        <x:v>2026年6月末减2025年末，按百分点解释</x:v>
      </x:c>
      <x:c r="D119" s="245"/>
      <x:c r="E119" s="245"/>
      <x:c r="F119" s="245"/>
      <x:c r="G119" s="245"/>
      <x:c r="H119" s="245"/>
      <x:c r="I119" s="245"/>
      <x:c r="J119" s="245"/>
      <x:c r="K119" s="245"/>
      <x:c r="L119" s="245"/>
      <x:c r="M119" s="245"/>
      <x:c r="N119" s="245"/>
      <x:c r="O119" s="245"/>
      <x:c r="P119" s="245"/>
      <x:c r="Q119" s="245"/>
    </x:row>
    <x:row r="120" ht="28" customHeight="1">
      <x:c r="A120" s="240" t="str">
        <x:v>合同负债较年末</x:v>
      </x:c>
      <x:c r="B120" s="256" t="n">
        <x:f>K73/K72-1</x:f>
        <x:v>-0.2850907818993428</x:v>
      </x:c>
      <x:c r="C120" s="240" t="str">
        <x:v>余额同时受新预收及交付结转影响，不等同于订单增长率</x:v>
      </x:c>
      <x:c r="D120" s="245"/>
      <x:c r="E120" s="245"/>
      <x:c r="F120" s="245"/>
      <x:c r="G120" s="245"/>
      <x:c r="H120" s="245"/>
      <x:c r="I120" s="245"/>
      <x:c r="J120" s="245"/>
      <x:c r="K120" s="245"/>
      <x:c r="L120" s="245"/>
      <x:c r="M120" s="245"/>
      <x:c r="N120" s="245"/>
      <x:c r="O120" s="245"/>
      <x:c r="P120" s="245"/>
      <x:c r="Q120" s="245"/>
    </x:row>
    <x:row r="121">
      <x:c r="A121" s="245"/>
      <x:c r="B121" s="245"/>
      <x:c r="C121" s="245"/>
      <x:c r="D121" s="245"/>
      <x:c r="E121" s="245"/>
      <x:c r="F121" s="245"/>
      <x:c r="G121" s="245"/>
      <x:c r="H121" s="245"/>
      <x:c r="I121" s="245"/>
      <x:c r="J121" s="245"/>
      <x:c r="K121" s="245"/>
      <x:c r="L121" s="245"/>
      <x:c r="M121" s="245"/>
      <x:c r="N121" s="245"/>
      <x:c r="O121" s="245"/>
      <x:c r="P121" s="245"/>
      <x:c r="Q121" s="245"/>
    </x:row>
    <x:row r="122" ht="32" customHeight="1">
      <x:c r="A122" s="192" t="str">
        <x:v>财务原值保持报表披露；百分比、同比及加总均由工作表公式生成。来源ID对应下方公告名称、日期、原文页码及链接。</x:v>
      </x:c>
      <x:c r="B122" s="192"/>
      <x:c r="C122" s="192"/>
      <x:c r="D122" s="192"/>
      <x:c r="E122" s="192"/>
      <x:c r="F122" s="192"/>
      <x:c r="G122" s="192"/>
      <x:c r="H122" s="192"/>
      <x:c r="I122" s="192"/>
      <x:c r="J122" s="192"/>
      <x:c r="K122" s="192"/>
      <x:c r="L122" s="192"/>
      <x:c r="M122" s="192"/>
      <x:c r="N122" s="192"/>
      <x:c r="O122" s="192"/>
      <x:c r="P122" s="245"/>
      <x:c r="Q122" s="245"/>
    </x:row>
    <x:row r="123">
      <x:c r="A123" s="245"/>
      <x:c r="B123" s="245"/>
      <x:c r="C123" s="245"/>
      <x:c r="D123" s="245"/>
      <x:c r="E123" s="245"/>
      <x:c r="F123" s="245"/>
      <x:c r="G123" s="245"/>
      <x:c r="H123" s="245"/>
      <x:c r="I123" s="245"/>
      <x:c r="J123" s="245"/>
      <x:c r="K123" s="245"/>
      <x:c r="L123" s="245"/>
      <x:c r="M123" s="245"/>
      <x:c r="N123" s="245"/>
      <x:c r="O123" s="245"/>
      <x:c r="P123" s="245"/>
      <x:c r="Q123" s="245"/>
    </x:row>
    <x:row r="124" ht="28" customHeight="1">
      <x:c r="A124" s="176" t="str">
        <x:v>来源证据｜公告原文、日期、页码与完整链接</x:v>
      </x:c>
      <x:c r="B124" s="176"/>
      <x:c r="C124" s="176"/>
      <x:c r="D124" s="176"/>
      <x:c r="E124" s="176"/>
      <x:c r="F124" s="176"/>
      <x:c r="G124" s="176"/>
      <x:c r="H124" s="176"/>
      <x:c r="I124" s="176"/>
      <x:c r="J124" s="176"/>
      <x:c r="K124" s="176"/>
      <x:c r="L124" s="176"/>
      <x:c r="M124" s="176"/>
      <x:c r="N124" s="176"/>
      <x:c r="O124" s="176"/>
      <x:c r="P124" s="245"/>
      <x:c r="Q124" s="245"/>
    </x:row>
    <x:row r="125">
      <x:c r="A125" s="245"/>
      <x:c r="B125" s="245"/>
      <x:c r="C125" s="245"/>
      <x:c r="D125" s="245"/>
      <x:c r="E125" s="245"/>
      <x:c r="F125" s="245"/>
      <x:c r="G125" s="245"/>
      <x:c r="H125" s="245"/>
      <x:c r="I125" s="245"/>
      <x:c r="J125" s="245"/>
      <x:c r="K125" s="245"/>
      <x:c r="L125" s="245"/>
      <x:c r="M125" s="245"/>
      <x:c r="N125" s="245"/>
      <x:c r="O125" s="245"/>
      <x:c r="P125" s="245"/>
      <x:c r="Q125" s="245"/>
    </x:row>
    <x:row r="126" ht="38" customHeight="1">
      <x:c r="A126" s="240" t="str">
        <x:v>jg2023</x:v>
      </x:c>
      <x:c r="B126" s="240" t="str">
        <x:v>炬光科技</x:v>
      </x:c>
      <x:c r="C126" s="240"/>
      <x:c r="D126" s="240" t="str">
        <x:v>2023年年度报告</x:v>
      </x:c>
      <x:c r="E126" s="240"/>
      <x:c r="F126" s="240"/>
      <x:c r="G126" s="240" t="str">
        <x:v>2024-04-27</x:v>
      </x:c>
      <x:c r="H126" s="240"/>
      <x:c r="I126" s="240" t="str">
        <x:v>主营业务分产品：第55—56页</x:v>
      </x:c>
      <x:c r="J126" s="240"/>
      <x:c r="K126" s="240"/>
      <x:c r="L126" s="240"/>
      <x:c r="M126" s="240"/>
      <x:c r="N126" s="240"/>
      <x:c r="O126" s="240"/>
      <x:c r="P126" s="245"/>
      <x:c r="Q126" s="245"/>
    </x:row>
    <x:row r="127" ht="32" customHeight="1">
      <x:c r="A127" s="261" t="str">
        <x:v>https://static.sse.com.cn/disclosure/listedinfo/announcement/c/new/2024-04-27/688167_20240427_RUE5.pdf</x:v>
      </x:c>
      <x:c r="B127" s="261"/>
      <x:c r="C127" s="261"/>
      <x:c r="D127" s="261"/>
      <x:c r="E127" s="261"/>
      <x:c r="F127" s="261"/>
      <x:c r="G127" s="261"/>
      <x:c r="H127" s="261"/>
      <x:c r="I127" s="261"/>
      <x:c r="J127" s="261"/>
      <x:c r="K127" s="261"/>
      <x:c r="L127" s="261"/>
      <x:c r="M127" s="261"/>
      <x:c r="N127" s="261"/>
      <x:c r="O127" s="261"/>
      <x:c r="P127" s="245"/>
      <x:c r="Q127" s="245"/>
    </x:row>
    <x:row r="128">
      <x:c r="A128" s="245"/>
      <x:c r="B128" s="245"/>
      <x:c r="C128" s="245"/>
      <x:c r="D128" s="245"/>
      <x:c r="E128" s="245"/>
      <x:c r="F128" s="245"/>
      <x:c r="G128" s="245"/>
      <x:c r="H128" s="245"/>
      <x:c r="I128" s="245"/>
      <x:c r="J128" s="245"/>
      <x:c r="K128" s="245"/>
      <x:c r="L128" s="245"/>
      <x:c r="M128" s="245"/>
      <x:c r="N128" s="245"/>
      <x:c r="O128" s="245"/>
      <x:c r="P128" s="245"/>
      <x:c r="Q128" s="245"/>
    </x:row>
    <x:row r="129" ht="38" customHeight="1">
      <x:c r="A129" s="240" t="str">
        <x:v>jg2024</x:v>
      </x:c>
      <x:c r="B129" s="240" t="str">
        <x:v>炬光科技</x:v>
      </x:c>
      <x:c r="C129" s="240"/>
      <x:c r="D129" s="240" t="str">
        <x:v>2024年年度报告</x:v>
      </x:c>
      <x:c r="E129" s="240"/>
      <x:c r="F129" s="240"/>
      <x:c r="G129" s="240" t="str">
        <x:v>2025-04-26</x:v>
      </x:c>
      <x:c r="H129" s="240"/>
      <x:c r="I129" s="240" t="str">
        <x:v>主营业务分产品：第53—55页；研发：第42页；资产负债：第155—157页；存货：第226页</x:v>
      </x:c>
      <x:c r="J129" s="240"/>
      <x:c r="K129" s="240"/>
      <x:c r="L129" s="240"/>
      <x:c r="M129" s="240"/>
      <x:c r="N129" s="240"/>
      <x:c r="O129" s="240"/>
      <x:c r="P129" s="245"/>
      <x:c r="Q129" s="245"/>
    </x:row>
    <x:row r="130" ht="32" customHeight="1">
      <x:c r="A130" s="261" t="str">
        <x:v>https://static.cninfo.com.cn/finalpage/2025-04-26/1223328399.PDF</x:v>
      </x:c>
      <x:c r="B130" s="261"/>
      <x:c r="C130" s="261"/>
      <x:c r="D130" s="261"/>
      <x:c r="E130" s="261"/>
      <x:c r="F130" s="261"/>
      <x:c r="G130" s="261"/>
      <x:c r="H130" s="261"/>
      <x:c r="I130" s="261"/>
      <x:c r="J130" s="261"/>
      <x:c r="K130" s="261"/>
      <x:c r="L130" s="261"/>
      <x:c r="M130" s="261"/>
      <x:c r="N130" s="261"/>
      <x:c r="O130" s="261"/>
      <x:c r="P130" s="245"/>
      <x:c r="Q130" s="245"/>
    </x:row>
    <x:row r="131">
      <x:c r="A131" s="245"/>
      <x:c r="B131" s="245"/>
      <x:c r="C131" s="245"/>
      <x:c r="D131" s="245"/>
      <x:c r="E131" s="245"/>
      <x:c r="F131" s="245"/>
      <x:c r="G131" s="245"/>
      <x:c r="H131" s="245"/>
      <x:c r="I131" s="245"/>
      <x:c r="J131" s="245"/>
      <x:c r="K131" s="245"/>
      <x:c r="L131" s="245"/>
      <x:c r="M131" s="245"/>
      <x:c r="N131" s="245"/>
      <x:c r="O131" s="245"/>
      <x:c r="P131" s="245"/>
      <x:c r="Q131" s="245"/>
    </x:row>
    <x:row r="132" ht="38" customHeight="1">
      <x:c r="A132" s="240" t="str">
        <x:v>jg2025</x:v>
      </x:c>
      <x:c r="B132" s="240" t="str">
        <x:v>炬光科技</x:v>
      </x:c>
      <x:c r="C132" s="240"/>
      <x:c r="D132" s="240" t="str">
        <x:v>2025年年度报告</x:v>
      </x:c>
      <x:c r="E132" s="240"/>
      <x:c r="F132" s="240"/>
      <x:c r="G132" s="240" t="str">
        <x:v>2026-04-29</x:v>
      </x:c>
      <x:c r="H132" s="240"/>
      <x:c r="I132" s="240" t="str">
        <x:v>应用收入与主营业务分产品：第45—48页；研发：第37—38页；财务报表：第135—144页；研发明细：第241—242页</x:v>
      </x:c>
      <x:c r="J132" s="240"/>
      <x:c r="K132" s="240"/>
      <x:c r="L132" s="240"/>
      <x:c r="M132" s="240"/>
      <x:c r="N132" s="240"/>
      <x:c r="O132" s="240"/>
      <x:c r="P132" s="245"/>
      <x:c r="Q132" s="245"/>
    </x:row>
    <x:row r="133" ht="32" customHeight="1">
      <x:c r="A133" s="261" t="str">
        <x:v>https://static.sse.com.cn/disclosure/listedinfo/announcement/c/new/2026-04-29/688167_20260429_QJ8P.pdf</x:v>
      </x:c>
      <x:c r="B133" s="261"/>
      <x:c r="C133" s="261"/>
      <x:c r="D133" s="261"/>
      <x:c r="E133" s="261"/>
      <x:c r="F133" s="261"/>
      <x:c r="G133" s="261"/>
      <x:c r="H133" s="261"/>
      <x:c r="I133" s="261"/>
      <x:c r="J133" s="261"/>
      <x:c r="K133" s="261"/>
      <x:c r="L133" s="261"/>
      <x:c r="M133" s="261"/>
      <x:c r="N133" s="261"/>
      <x:c r="O133" s="261"/>
      <x:c r="P133" s="245"/>
      <x:c r="Q133" s="245"/>
    </x:row>
    <x:row r="134">
      <x:c r="A134" s="245"/>
      <x:c r="B134" s="245"/>
      <x:c r="C134" s="245"/>
      <x:c r="D134" s="245"/>
      <x:c r="E134" s="245"/>
      <x:c r="F134" s="245"/>
      <x:c r="G134" s="245"/>
      <x:c r="H134" s="245"/>
      <x:c r="I134" s="245"/>
      <x:c r="J134" s="245"/>
      <x:c r="K134" s="245"/>
      <x:c r="L134" s="245"/>
      <x:c r="M134" s="245"/>
      <x:c r="N134" s="245"/>
      <x:c r="O134" s="245"/>
      <x:c r="P134" s="245"/>
      <x:c r="Q134" s="245"/>
    </x:row>
    <x:row r="135" ht="38" customHeight="1">
      <x:c r="A135" s="240" t="str">
        <x:v>jg2026h1</x:v>
      </x:c>
      <x:c r="B135" s="240" t="str">
        <x:v>炬光科技</x:v>
      </x:c>
      <x:c r="C135" s="240"/>
      <x:c r="D135" s="240" t="str">
        <x:v>2026年半年度报告</x:v>
      </x:c>
      <x:c r="E135" s="240"/>
      <x:c r="F135" s="240"/>
      <x:c r="G135" s="240" t="str">
        <x:v>2026-08-08</x:v>
      </x:c>
      <x:c r="H135" s="240"/>
      <x:c r="I135" s="240" t="str">
        <x:v>应用收入：第39—40页；营业收入/成本分产品：第179—180页；报告分部：第217—218页；研发：第32、35、182页；资产负债：第80—82页；存货：第149—150页；固定资产：第156—157页；在建工程：第158—159页；合同负债：第168—169页</x:v>
      </x:c>
      <x:c r="J135" s="240"/>
      <x:c r="K135" s="240"/>
      <x:c r="L135" s="240"/>
      <x:c r="M135" s="240"/>
      <x:c r="N135" s="240"/>
      <x:c r="O135" s="240"/>
      <x:c r="P135" s="245"/>
      <x:c r="Q135" s="245"/>
    </x:row>
    <x:row r="136" ht="32" customHeight="1">
      <x:c r="A136" s="261" t="str">
        <x:v>https://static.sse.com.cn/disclosure/listedinfo/announcement/c/new/2026-08-08/688167_20260808_F20M.pdf</x:v>
      </x:c>
      <x:c r="B136" s="261"/>
      <x:c r="C136" s="261"/>
      <x:c r="D136" s="261"/>
      <x:c r="E136" s="261"/>
      <x:c r="F136" s="261"/>
      <x:c r="G136" s="261"/>
      <x:c r="H136" s="261"/>
      <x:c r="I136" s="261"/>
      <x:c r="J136" s="261"/>
      <x:c r="K136" s="261"/>
      <x:c r="L136" s="261"/>
      <x:c r="M136" s="261"/>
      <x:c r="N136" s="261"/>
      <x:c r="O136" s="261"/>
      <x:c r="P136" s="245"/>
      <x:c r="Q136" s="245"/>
    </x:row>
    <x:row r="137">
      <x:c r="A137" s="245"/>
      <x:c r="B137" s="245"/>
      <x:c r="C137" s="245"/>
      <x:c r="D137" s="245"/>
      <x:c r="E137" s="245"/>
      <x:c r="F137" s="245"/>
      <x:c r="G137" s="245"/>
      <x:c r="H137" s="245"/>
      <x:c r="I137" s="245"/>
      <x:c r="J137" s="245"/>
      <x:c r="K137" s="245"/>
      <x:c r="L137" s="245"/>
      <x:c r="M137" s="245"/>
      <x:c r="N137" s="245"/>
      <x:c r="O137" s="245"/>
      <x:c r="P137" s="245"/>
      <x:c r="Q137" s="245"/>
    </x:row>
    <x:row r="138" ht="38" customHeight="1">
      <x:c r="A138" s="240" t="str">
        <x:v>tj2024</x:v>
      </x:c>
      <x:c r="B138" s="240" t="str">
        <x:v>腾景科技</x:v>
      </x:c>
      <x:c r="C138" s="240"/>
      <x:c r="D138" s="240" t="str">
        <x:v>2024年年度报告</x:v>
      </x:c>
      <x:c r="E138" s="240"/>
      <x:c r="F138" s="240"/>
      <x:c r="G138" s="240" t="str">
        <x:v>2025-03-22</x:v>
      </x:c>
      <x:c r="H138" s="240"/>
      <x:c r="I138" s="240" t="str">
        <x:v>研发：第31页</x:v>
      </x:c>
      <x:c r="J138" s="240"/>
      <x:c r="K138" s="240"/>
      <x:c r="L138" s="240"/>
      <x:c r="M138" s="240"/>
      <x:c r="N138" s="240"/>
      <x:c r="O138" s="240"/>
      <x:c r="P138" s="245"/>
      <x:c r="Q138" s="245"/>
    </x:row>
    <x:row r="139" ht="32" customHeight="1">
      <x:c r="A139" s="261" t="str">
        <x:v>https://static.cninfo.com.cn/finalpage/2025-03-22/1222868017.PDF</x:v>
      </x:c>
      <x:c r="B139" s="261"/>
      <x:c r="C139" s="261"/>
      <x:c r="D139" s="261"/>
      <x:c r="E139" s="261"/>
      <x:c r="F139" s="261"/>
      <x:c r="G139" s="261"/>
      <x:c r="H139" s="261"/>
      <x:c r="I139" s="261"/>
      <x:c r="J139" s="261"/>
      <x:c r="K139" s="261"/>
      <x:c r="L139" s="261"/>
      <x:c r="M139" s="261"/>
      <x:c r="N139" s="261"/>
      <x:c r="O139" s="261"/>
      <x:c r="P139" s="245"/>
      <x:c r="Q139" s="245"/>
    </x:row>
    <x:row r="140">
      <x:c r="A140" s="245"/>
      <x:c r="B140" s="245"/>
      <x:c r="C140" s="245"/>
      <x:c r="D140" s="245"/>
      <x:c r="E140" s="245"/>
      <x:c r="F140" s="245"/>
      <x:c r="G140" s="245"/>
      <x:c r="H140" s="245"/>
      <x:c r="I140" s="245"/>
      <x:c r="J140" s="245"/>
      <x:c r="K140" s="245"/>
      <x:c r="L140" s="245"/>
      <x:c r="M140" s="245"/>
      <x:c r="N140" s="245"/>
      <x:c r="O140" s="245"/>
      <x:c r="P140" s="245"/>
      <x:c r="Q140" s="245"/>
    </x:row>
    <x:row r="141" ht="38" customHeight="1">
      <x:c r="A141" s="240" t="str">
        <x:v>tj2025</x:v>
      </x:c>
      <x:c r="B141" s="240" t="str">
        <x:v>腾景科技</x:v>
      </x:c>
      <x:c r="C141" s="240"/>
      <x:c r="D141" s="240" t="str">
        <x:v>2025年年度报告</x:v>
      </x:c>
      <x:c r="E141" s="240"/>
      <x:c r="F141" s="240"/>
      <x:c r="G141" s="240" t="str">
        <x:v>2026-04-25</x:v>
      </x:c>
      <x:c r="H141" s="240"/>
      <x:c r="I141" s="240" t="str">
        <x:v>研发：第34页，公司公告原文存档</x:v>
      </x:c>
      <x:c r="J141" s="240"/>
      <x:c r="K141" s="240"/>
      <x:c r="L141" s="240"/>
      <x:c r="M141" s="240"/>
      <x:c r="N141" s="240"/>
      <x:c r="O141" s="240"/>
      <x:c r="P141" s="245"/>
      <x:c r="Q141" s="245"/>
    </x:row>
    <x:row r="142" ht="32" customHeight="1">
      <x:c r="A142" s="261" t="str">
        <x:v>https://file.finance.sina.com.cn/211.154.219.97:9494/MRGG/CNSESH_STOCK/2026/2026-4/2026-04-25/12180620.PDF</x:v>
      </x:c>
      <x:c r="B142" s="261"/>
      <x:c r="C142" s="261"/>
      <x:c r="D142" s="261"/>
      <x:c r="E142" s="261"/>
      <x:c r="F142" s="261"/>
      <x:c r="G142" s="261"/>
      <x:c r="H142" s="261"/>
      <x:c r="I142" s="261"/>
      <x:c r="J142" s="261"/>
      <x:c r="K142" s="261"/>
      <x:c r="L142" s="261"/>
      <x:c r="M142" s="261"/>
      <x:c r="N142" s="261"/>
      <x:c r="O142" s="261"/>
      <x:c r="P142" s="245"/>
      <x:c r="Q142" s="245"/>
    </x:row>
    <x:row r="143">
      <x:c r="A143" s="245"/>
      <x:c r="B143" s="245"/>
      <x:c r="C143" s="245"/>
      <x:c r="D143" s="245"/>
      <x:c r="E143" s="245"/>
      <x:c r="F143" s="245"/>
      <x:c r="G143" s="245"/>
      <x:c r="H143" s="245"/>
      <x:c r="I143" s="245"/>
      <x:c r="J143" s="245"/>
      <x:c r="K143" s="245"/>
      <x:c r="L143" s="245"/>
      <x:c r="M143" s="245"/>
      <x:c r="N143" s="245"/>
      <x:c r="O143" s="245"/>
      <x:c r="P143" s="245"/>
      <x:c r="Q143" s="245"/>
    </x:row>
    <x:row r="144" ht="38" customHeight="1">
      <x:c r="A144" s="240" t="str">
        <x:v>tj2026h1</x:v>
      </x:c>
      <x:c r="B144" s="240" t="str">
        <x:v>腾景科技</x:v>
      </x:c>
      <x:c r="C144" s="240"/>
      <x:c r="D144" s="240" t="str">
        <x:v>2026年半年度报告</x:v>
      </x:c>
      <x:c r="E144" s="240"/>
      <x:c r="F144" s="240"/>
      <x:c r="G144" s="240" t="str">
        <x:v>2026-08-29</x:v>
      </x:c>
      <x:c r="H144" s="240"/>
      <x:c r="I144" s="240" t="str">
        <x:v>研发：第26页，公司公告原文存档</x:v>
      </x:c>
      <x:c r="J144" s="240"/>
      <x:c r="K144" s="240"/>
      <x:c r="L144" s="240"/>
      <x:c r="M144" s="240"/>
      <x:c r="N144" s="240"/>
      <x:c r="O144" s="240"/>
      <x:c r="P144" s="245"/>
      <x:c r="Q144" s="245"/>
    </x:row>
    <x:row r="145" ht="32" customHeight="1">
      <x:c r="A145" s="261" t="str">
        <x:v>https://file.finance.sina.com.cn/211.154.219.97:9494/MRGG/CNSESH_STOCK/2026/2026-8/2026-08-29/12571137.PDF</x:v>
      </x:c>
      <x:c r="B145" s="261"/>
      <x:c r="C145" s="261"/>
      <x:c r="D145" s="261"/>
      <x:c r="E145" s="261"/>
      <x:c r="F145" s="261"/>
      <x:c r="G145" s="261"/>
      <x:c r="H145" s="261"/>
      <x:c r="I145" s="261"/>
      <x:c r="J145" s="261"/>
      <x:c r="K145" s="261"/>
      <x:c r="L145" s="261"/>
      <x:c r="M145" s="261"/>
      <x:c r="N145" s="261"/>
      <x:c r="O145" s="261"/>
      <x:c r="P145" s="245"/>
      <x:c r="Q145" s="245"/>
    </x:row>
    <x:row r="146">
      <x:c r="A146" s="245"/>
      <x:c r="B146" s="245"/>
      <x:c r="C146" s="245"/>
      <x:c r="D146" s="245"/>
      <x:c r="E146" s="245"/>
      <x:c r="F146" s="245"/>
      <x:c r="G146" s="245"/>
      <x:c r="H146" s="245"/>
      <x:c r="I146" s="245"/>
      <x:c r="J146" s="245"/>
      <x:c r="K146" s="245"/>
      <x:c r="L146" s="245"/>
      <x:c r="M146" s="245"/>
      <x:c r="N146" s="245"/>
      <x:c r="O146" s="245"/>
      <x:c r="P146" s="245"/>
      <x:c r="Q146" s="245"/>
    </x:row>
    <x:row r="147" ht="38" customHeight="1">
      <x:c r="A147" s="240" t="str">
        <x:v>lt2024</x:v>
      </x:c>
      <x:c r="B147" s="240" t="str">
        <x:v>蓝特光学</x:v>
      </x:c>
      <x:c r="C147" s="240"/>
      <x:c r="D147" s="240" t="str">
        <x:v>2024年年度报告</x:v>
      </x:c>
      <x:c r="E147" s="240"/>
      <x:c r="F147" s="240"/>
      <x:c r="G147" s="240" t="str">
        <x:v>2025-04-25</x:v>
      </x:c>
      <x:c r="H147" s="240"/>
      <x:c r="I147" s="240" t="str">
        <x:v>营业收入：第8页；研发：第19页；研发支出：第221—222页</x:v>
      </x:c>
      <x:c r="J147" s="240"/>
      <x:c r="K147" s="240"/>
      <x:c r="L147" s="240"/>
      <x:c r="M147" s="240"/>
      <x:c r="N147" s="240"/>
      <x:c r="O147" s="240"/>
      <x:c r="P147" s="245"/>
      <x:c r="Q147" s="245"/>
    </x:row>
    <x:row r="148" ht="32" customHeight="1">
      <x:c r="A148" s="261" t="str">
        <x:v>https://static.cninfo.com.cn/finalpage/2025-04-25/1223281663.PDF</x:v>
      </x:c>
      <x:c r="B148" s="261"/>
      <x:c r="C148" s="261"/>
      <x:c r="D148" s="261"/>
      <x:c r="E148" s="261"/>
      <x:c r="F148" s="261"/>
      <x:c r="G148" s="261"/>
      <x:c r="H148" s="261"/>
      <x:c r="I148" s="261"/>
      <x:c r="J148" s="261"/>
      <x:c r="K148" s="261"/>
      <x:c r="L148" s="261"/>
      <x:c r="M148" s="261"/>
      <x:c r="N148" s="261"/>
      <x:c r="O148" s="261"/>
      <x:c r="P148" s="245"/>
      <x:c r="Q148" s="245"/>
    </x:row>
    <x:row r="149">
      <x:c r="A149" s="245"/>
      <x:c r="B149" s="245"/>
      <x:c r="C149" s="245"/>
      <x:c r="D149" s="245"/>
      <x:c r="E149" s="245"/>
      <x:c r="F149" s="245"/>
      <x:c r="G149" s="245"/>
      <x:c r="H149" s="245"/>
      <x:c r="I149" s="245"/>
      <x:c r="J149" s="245"/>
      <x:c r="K149" s="245"/>
      <x:c r="L149" s="245"/>
      <x:c r="M149" s="245"/>
      <x:c r="N149" s="245"/>
      <x:c r="O149" s="245"/>
      <x:c r="P149" s="245"/>
      <x:c r="Q149" s="245"/>
    </x:row>
    <x:row r="150" ht="38" customHeight="1">
      <x:c r="A150" s="240" t="str">
        <x:v>lt2025</x:v>
      </x:c>
      <x:c r="B150" s="240" t="str">
        <x:v>蓝特光学</x:v>
      </x:c>
      <x:c r="C150" s="240"/>
      <x:c r="D150" s="240" t="str">
        <x:v>2025年年度报告</x:v>
      </x:c>
      <x:c r="E150" s="240"/>
      <x:c r="F150" s="240"/>
      <x:c r="G150" s="240" t="str">
        <x:v>2026-03-17</x:v>
      </x:c>
      <x:c r="H150" s="240"/>
      <x:c r="I150" s="240" t="str">
        <x:v>营业收入：第7页；研发：第23页；研发支出：第209页</x:v>
      </x:c>
      <x:c r="J150" s="240"/>
      <x:c r="K150" s="240"/>
      <x:c r="L150" s="240"/>
      <x:c r="M150" s="240"/>
      <x:c r="N150" s="240"/>
      <x:c r="O150" s="240"/>
      <x:c r="P150" s="245"/>
      <x:c r="Q150" s="245"/>
    </x:row>
    <x:row r="151" ht="32" customHeight="1">
      <x:c r="A151" s="261" t="str">
        <x:v>https://static.cninfo.com.cn/finalpage/2026-03-17/1225013060.PDF</x:v>
      </x:c>
      <x:c r="B151" s="261"/>
      <x:c r="C151" s="261"/>
      <x:c r="D151" s="261"/>
      <x:c r="E151" s="261"/>
      <x:c r="F151" s="261"/>
      <x:c r="G151" s="261"/>
      <x:c r="H151" s="261"/>
      <x:c r="I151" s="261"/>
      <x:c r="J151" s="261"/>
      <x:c r="K151" s="261"/>
      <x:c r="L151" s="261"/>
      <x:c r="M151" s="261"/>
      <x:c r="N151" s="261"/>
      <x:c r="O151" s="261"/>
      <x:c r="P151" s="245"/>
      <x:c r="Q151" s="245"/>
    </x:row>
    <x:row r="152">
      <x:c r="A152" s="245"/>
      <x:c r="B152" s="245"/>
      <x:c r="C152" s="245"/>
      <x:c r="D152" s="245"/>
      <x:c r="E152" s="245"/>
      <x:c r="F152" s="245"/>
      <x:c r="G152" s="245"/>
      <x:c r="H152" s="245"/>
      <x:c r="I152" s="245"/>
      <x:c r="J152" s="245"/>
      <x:c r="K152" s="245"/>
      <x:c r="L152" s="245"/>
      <x:c r="M152" s="245"/>
      <x:c r="N152" s="245"/>
      <x:c r="O152" s="245"/>
      <x:c r="P152" s="245"/>
      <x:c r="Q152" s="245"/>
    </x:row>
    <x:row r="153" ht="38" customHeight="1">
      <x:c r="A153" s="240" t="str">
        <x:v>lt2026h1</x:v>
      </x:c>
      <x:c r="B153" s="240" t="str">
        <x:v>蓝特光学</x:v>
      </x:c>
      <x:c r="C153" s="240"/>
      <x:c r="D153" s="240" t="str">
        <x:v>2026年半年度报告</x:v>
      </x:c>
      <x:c r="E153" s="240"/>
      <x:c r="F153" s="240"/>
      <x:c r="G153" s="240" t="str">
        <x:v>2026-08-21</x:v>
      </x:c>
      <x:c r="H153" s="240"/>
      <x:c r="I153" s="240" t="str">
        <x:v>营业收入：第7页；研发：第19页；研发支出：第166页，公司公告原文存档</x:v>
      </x:c>
      <x:c r="J153" s="240"/>
      <x:c r="K153" s="240"/>
      <x:c r="L153" s="240"/>
      <x:c r="M153" s="240"/>
      <x:c r="N153" s="240"/>
      <x:c r="O153" s="240"/>
      <x:c r="P153" s="245"/>
      <x:c r="Q153" s="245"/>
    </x:row>
    <x:row r="154" ht="32" customHeight="1">
      <x:c r="A154" s="261" t="str">
        <x:v>https://file.finance.sina.com.cn/211.154.219.97:9494/MRGG/CNSESH_STOCK/2026/2026-8/2026-08-21/12510147.PDF</x:v>
      </x:c>
      <x:c r="B154" s="261"/>
      <x:c r="C154" s="261"/>
      <x:c r="D154" s="261"/>
      <x:c r="E154" s="261"/>
      <x:c r="F154" s="261"/>
      <x:c r="G154" s="261"/>
      <x:c r="H154" s="261"/>
      <x:c r="I154" s="261"/>
      <x:c r="J154" s="261"/>
      <x:c r="K154" s="261"/>
      <x:c r="L154" s="261"/>
      <x:c r="M154" s="261"/>
      <x:c r="N154" s="261"/>
      <x:c r="O154" s="261"/>
      <x:c r="P154" s="245"/>
      <x:c r="Q154" s="245"/>
    </x:row>
    <x:row r="155">
      <x:c r="A155" s="245"/>
      <x:c r="B155" s="245"/>
      <x:c r="C155" s="245"/>
      <x:c r="D155" s="245"/>
      <x:c r="E155" s="245"/>
      <x:c r="F155" s="245"/>
      <x:c r="G155" s="245"/>
      <x:c r="H155" s="245"/>
      <x:c r="I155" s="245"/>
      <x:c r="J155" s="245"/>
      <x:c r="K155" s="245"/>
      <x:c r="L155" s="245"/>
      <x:c r="M155" s="245"/>
      <x:c r="N155" s="245"/>
      <x:c r="O155" s="245"/>
      <x:c r="P155" s="245"/>
      <x:c r="Q155" s="245"/>
    </x:row>
    <x:row r="156" ht="38" customHeight="1">
      <x:c r="A156" s="240" t="str">
        <x:v>sj2024</x:v>
      </x:c>
      <x:c r="B156" s="240" t="str">
        <x:v>水晶光电</x:v>
      </x:c>
      <x:c r="C156" s="240"/>
      <x:c r="D156" s="240" t="str">
        <x:v>2024年年度报告</x:v>
      </x:c>
      <x:c r="E156" s="240"/>
      <x:c r="F156" s="240"/>
      <x:c r="G156" s="240" t="str">
        <x:v>2025-04-10</x:v>
      </x:c>
      <x:c r="H156" s="240"/>
      <x:c r="I156" s="240" t="str">
        <x:v>营业收入：第8页；研发及资本化：第24—25页；研发支出：第175—176页</x:v>
      </x:c>
      <x:c r="J156" s="240"/>
      <x:c r="K156" s="240"/>
      <x:c r="L156" s="240"/>
      <x:c r="M156" s="240"/>
      <x:c r="N156" s="240"/>
      <x:c r="O156" s="240"/>
      <x:c r="P156" s="245"/>
      <x:c r="Q156" s="245"/>
    </x:row>
    <x:row r="157" ht="32" customHeight="1">
      <x:c r="A157" s="261" t="str">
        <x:v>https://static.cninfo.com.cn/finalpage/2025-04-10/1223043452.PDF</x:v>
      </x:c>
      <x:c r="B157" s="261"/>
      <x:c r="C157" s="261"/>
      <x:c r="D157" s="261"/>
      <x:c r="E157" s="261"/>
      <x:c r="F157" s="261"/>
      <x:c r="G157" s="261"/>
      <x:c r="H157" s="261"/>
      <x:c r="I157" s="261"/>
      <x:c r="J157" s="261"/>
      <x:c r="K157" s="261"/>
      <x:c r="L157" s="261"/>
      <x:c r="M157" s="261"/>
      <x:c r="N157" s="261"/>
      <x:c r="O157" s="261"/>
      <x:c r="P157" s="245"/>
      <x:c r="Q157" s="245"/>
    </x:row>
    <x:row r="158">
      <x:c r="A158" s="245"/>
      <x:c r="B158" s="245"/>
      <x:c r="C158" s="245"/>
      <x:c r="D158" s="245"/>
      <x:c r="E158" s="245"/>
      <x:c r="F158" s="245"/>
      <x:c r="G158" s="245"/>
      <x:c r="H158" s="245"/>
      <x:c r="I158" s="245"/>
      <x:c r="J158" s="245"/>
      <x:c r="K158" s="245"/>
      <x:c r="L158" s="245"/>
      <x:c r="M158" s="245"/>
      <x:c r="N158" s="245"/>
      <x:c r="O158" s="245"/>
      <x:c r="P158" s="245"/>
      <x:c r="Q158" s="245"/>
    </x:row>
    <x:row r="159" ht="38" customHeight="1">
      <x:c r="A159" s="240" t="str">
        <x:v>sj2025</x:v>
      </x:c>
      <x:c r="B159" s="240" t="str">
        <x:v>水晶光电</x:v>
      </x:c>
      <x:c r="C159" s="240"/>
      <x:c r="D159" s="240" t="str">
        <x:v>2025年年度报告</x:v>
      </x:c>
      <x:c r="E159" s="240"/>
      <x:c r="F159" s="240"/>
      <x:c r="G159" s="240" t="str">
        <x:v>2026-04-18</x:v>
      </x:c>
      <x:c r="H159" s="240"/>
      <x:c r="I159" s="240" t="str">
        <x:v>营业收入：第8页；研发及资本化：第24页；研发支出：第143页</x:v>
      </x:c>
      <x:c r="J159" s="240"/>
      <x:c r="K159" s="240"/>
      <x:c r="L159" s="240"/>
      <x:c r="M159" s="240"/>
      <x:c r="N159" s="240"/>
      <x:c r="O159" s="240"/>
      <x:c r="P159" s="245"/>
      <x:c r="Q159" s="245"/>
    </x:row>
    <x:row r="160" ht="32" customHeight="1">
      <x:c r="A160" s="261" t="str">
        <x:v>https://static.cninfo.com.cn/finalpage/2026-04-18/1225122418.PDF</x:v>
      </x:c>
      <x:c r="B160" s="261"/>
      <x:c r="C160" s="261"/>
      <x:c r="D160" s="261"/>
      <x:c r="E160" s="261"/>
      <x:c r="F160" s="261"/>
      <x:c r="G160" s="261"/>
      <x:c r="H160" s="261"/>
      <x:c r="I160" s="261"/>
      <x:c r="J160" s="261"/>
      <x:c r="K160" s="261"/>
      <x:c r="L160" s="261"/>
      <x:c r="M160" s="261"/>
      <x:c r="N160" s="261"/>
      <x:c r="O160" s="261"/>
      <x:c r="P160" s="245"/>
      <x:c r="Q160" s="245"/>
    </x:row>
    <x:row r="161">
      <x:c r="A161" s="245"/>
      <x:c r="B161" s="245"/>
      <x:c r="C161" s="245"/>
      <x:c r="D161" s="245"/>
      <x:c r="E161" s="245"/>
      <x:c r="F161" s="245"/>
      <x:c r="G161" s="245"/>
      <x:c r="H161" s="245"/>
      <x:c r="I161" s="245"/>
      <x:c r="J161" s="245"/>
      <x:c r="K161" s="245"/>
      <x:c r="L161" s="245"/>
      <x:c r="M161" s="245"/>
      <x:c r="N161" s="245"/>
      <x:c r="O161" s="245"/>
      <x:c r="P161" s="245"/>
      <x:c r="Q161" s="245"/>
    </x:row>
    <x:row r="162" ht="38" customHeight="1">
      <x:c r="A162" s="240" t="str">
        <x:v>sj2026h1</x:v>
      </x:c>
      <x:c r="B162" s="240" t="str">
        <x:v>水晶光电</x:v>
      </x:c>
      <x:c r="C162" s="240"/>
      <x:c r="D162" s="240" t="str">
        <x:v>2026年半年度报告</x:v>
      </x:c>
      <x:c r="E162" s="240"/>
      <x:c r="F162" s="240"/>
      <x:c r="G162" s="240" t="str">
        <x:v>2026-08-24</x:v>
      </x:c>
      <x:c r="H162" s="240"/>
      <x:c r="I162" s="240" t="str">
        <x:v>合并营业收入：第7、44页；研发：第19、98、105—106页，公司公告原文存档</x:v>
      </x:c>
      <x:c r="J162" s="240"/>
      <x:c r="K162" s="240"/>
      <x:c r="L162" s="240"/>
      <x:c r="M162" s="240"/>
      <x:c r="N162" s="240"/>
      <x:c r="O162" s="240"/>
      <x:c r="P162" s="245"/>
      <x:c r="Q162" s="245"/>
    </x:row>
    <x:row r="163" ht="32" customHeight="1">
      <x:c r="A163" s="261" t="str">
        <x:v>https://file.finance.sina.com.cn/211.154.219.97:9494/MRGG/CNSESZ_STOCK/2026/2026-8/2026-08-24/12520513.PDF</x:v>
      </x:c>
      <x:c r="B163" s="261"/>
      <x:c r="C163" s="261"/>
      <x:c r="D163" s="261"/>
      <x:c r="E163" s="261"/>
      <x:c r="F163" s="261"/>
      <x:c r="G163" s="261"/>
      <x:c r="H163" s="261"/>
      <x:c r="I163" s="261"/>
      <x:c r="J163" s="261"/>
      <x:c r="K163" s="261"/>
      <x:c r="L163" s="261"/>
      <x:c r="M163" s="261"/>
      <x:c r="N163" s="261"/>
      <x:c r="O163" s="261"/>
      <x:c r="P163" s="245"/>
      <x:c r="Q163" s="245"/>
    </x:row>
    <x:row r="164">
      <x:c r="A164" s="176" t="str">
        <x:v>报告期</x:v>
      </x:c>
      <x:c r="B164" s="176" t="str">
        <x:v>炬光研发费用</x:v>
      </x:c>
      <x:c r="C164" s="176" t="str">
        <x:v>炬光研发费用率</x:v>
      </x:c>
      <x:c r="D164" s="176" t="str">
        <x:v>腾景研发费用率</x:v>
      </x:c>
      <x:c r="E164" s="176" t="str">
        <x:v>蓝特研发费用率</x:v>
      </x:c>
      <x:c r="F164" s="176" t="str">
        <x:v>水晶研发费用率</x:v>
      </x:c>
      <x:c r="G164" s="245"/>
      <x:c r="H164" s="245"/>
      <x:c r="I164" s="245"/>
      <x:c r="J164" s="245"/>
      <x:c r="K164" s="245"/>
      <x:c r="L164" s="245"/>
      <x:c r="M164" s="245"/>
      <x:c r="N164" s="245"/>
      <x:c r="O164" s="245"/>
      <x:c r="P164" s="245"/>
      <x:c r="Q164" s="245"/>
    </x:row>
    <x:row r="165">
      <x:c r="A165" s="262" t="str">
        <x:f>C42</x:f>
        <x:v>2023A</x:v>
      </x:c>
      <x:c r="B165" s="259" t="n">
        <x:f>F42</x:f>
        <x:v>0.7860051406</x:v>
      </x:c>
      <x:c r="C165" s="263" t="n">
        <x:f>H42</x:f>
        <x:v>0.14006464097078147</x:v>
      </x:c>
      <x:c r="D165" s="263" t="n">
        <x:f>H47</x:f>
        <x:v>0.10046773443782767</x:v>
      </x:c>
      <x:c r="E165" s="263" t="n">
        <x:f>H52</x:f>
        <x:v>0.08691656593218591</x:v>
      </x:c>
      <x:c r="F165" s="263" t="n">
        <x:f>H57</x:f>
        <x:v>0.08350397022484103</x:v>
      </x:c>
      <x:c r="G165" s="245"/>
      <x:c r="H165" s="245"/>
      <x:c r="I165" s="245"/>
      <x:c r="J165" s="245"/>
      <x:c r="K165" s="245"/>
      <x:c r="L165" s="245"/>
      <x:c r="M165" s="245"/>
      <x:c r="N165" s="245"/>
      <x:c r="O165" s="245"/>
      <x:c r="P165" s="245"/>
      <x:c r="Q165" s="245"/>
    </x:row>
    <x:row r="166">
      <x:c r="A166" s="262" t="str">
        <x:f>C43</x:f>
        <x:v>2024A</x:v>
      </x:c>
      <x:c r="B166" s="259" t="n">
        <x:f>F43</x:f>
        <x:v>0.9507855381</x:v>
      </x:c>
      <x:c r="C166" s="263" t="n">
        <x:f>H43</x:f>
        <x:v>0.1533477077123591</x:v>
      </x:c>
      <x:c r="D166" s="263" t="n">
        <x:f>H48</x:f>
        <x:v>0.1060873484045346</x:v>
      </x:c>
      <x:c r="E166" s="263" t="n">
        <x:f>H53</x:f>
        <x:v>0.11266659753467484</x:v>
      </x:c>
      <x:c r="F166" s="263" t="n">
        <x:f>H58</x:f>
        <x:v>0.06495938351474935</x:v>
      </x:c>
      <x:c r="G166" s="245"/>
      <x:c r="H166" s="245"/>
      <x:c r="I166" s="245"/>
      <x:c r="J166" s="245"/>
      <x:c r="K166" s="245"/>
      <x:c r="L166" s="245"/>
      <x:c r="M166" s="245"/>
      <x:c r="N166" s="245"/>
      <x:c r="O166" s="245"/>
      <x:c r="P166" s="245"/>
      <x:c r="Q166" s="245"/>
    </x:row>
    <x:row r="167">
      <x:c r="A167" s="262" t="str">
        <x:f>C44</x:f>
        <x:v>2025A</x:v>
      </x:c>
      <x:c r="B167" s="259" t="n">
        <x:f>F44</x:f>
        <x:v>1.7122609469999999</x:v>
      </x:c>
      <x:c r="C167" s="263" t="n">
        <x:f>H44</x:f>
        <x:v>0.19457525594189168</x:v>
      </x:c>
      <x:c r="D167" s="263" t="n">
        <x:f>H49</x:f>
        <x:v>0.11870040735864416</x:v>
      </x:c>
      <x:c r="E167" s="263" t="n">
        <x:f>H54</x:f>
        <x:v>0.07992777917025827</x:v>
      </x:c>
      <x:c r="F167" s="263" t="n">
        <x:f>H59</x:f>
        <x:v>0.059863619927484825</x:v>
      </x:c>
      <x:c r="G167" s="245"/>
      <x:c r="H167" s="245"/>
      <x:c r="I167" s="245"/>
      <x:c r="J167" s="245"/>
      <x:c r="K167" s="245"/>
      <x:c r="L167" s="245"/>
      <x:c r="M167" s="245"/>
      <x:c r="N167" s="245"/>
      <x:c r="O167" s="245"/>
      <x:c r="P167" s="245"/>
      <x:c r="Q167" s="245"/>
    </x:row>
    <x:row r="168">
      <x:c r="A168" s="262" t="str">
        <x:f>C45</x:f>
        <x:v>2025H1</x:v>
      </x:c>
      <x:c r="B168" s="259" t="n">
        <x:f>F45</x:f>
        <x:v>0.9391072865000001</x:v>
      </x:c>
      <x:c r="C168" s="263" t="n">
        <x:f>H45</x:f>
        <x:v>0.23910091807452777</x:v>
      </x:c>
      <x:c r="D168" s="263" t="n">
        <x:f>H50</x:f>
        <x:v>0.11072723848069121</x:v>
      </x:c>
      <x:c r="E168" s="263" t="n">
        <x:f>H55</x:f>
        <x:v>0.09747442057989365</x:v>
      </x:c>
      <x:c r="F168" s="263" t="n">
        <x:f>H60</x:f>
        <x:v>0.06410308255050562</x:v>
      </x:c>
      <x:c r="G168" s="245"/>
      <x:c r="H168" s="245"/>
      <x:c r="I168" s="245"/>
      <x:c r="J168" s="245"/>
      <x:c r="K168" s="245"/>
      <x:c r="L168" s="245"/>
      <x:c r="M168" s="245"/>
      <x:c r="N168" s="245"/>
      <x:c r="O168" s="245"/>
      <x:c r="P168" s="245"/>
      <x:c r="Q168" s="245"/>
    </x:row>
    <x:row r="169">
      <x:c r="A169" s="262" t="str">
        <x:f>C46</x:f>
        <x:v>2026H1</x:v>
      </x:c>
      <x:c r="B169" s="259" t="n">
        <x:f>F46</x:f>
        <x:v>0.8908166665</x:v>
      </x:c>
      <x:c r="C169" s="263" t="n">
        <x:f>H46</x:f>
        <x:v>0.2128263118168524</x:v>
      </x:c>
      <x:c r="D169" s="263" t="n">
        <x:f>H51</x:f>
        <x:v>0.11417941701065021</x:v>
      </x:c>
      <x:c r="E169" s="263" t="n">
        <x:f>H56</x:f>
        <x:v>0.07575525957397457</x:v>
      </x:c>
      <x:c r="F169" s="263" t="n">
        <x:f>H61</x:f>
        <x:v>0.08102703108803179</x:v>
      </x:c>
      <x:c r="G169" s="245"/>
      <x:c r="H169" s="245"/>
      <x:c r="I169" s="245"/>
      <x:c r="J169" s="245"/>
      <x:c r="K169" s="245"/>
      <x:c r="L169" s="245"/>
      <x:c r="M169" s="245"/>
      <x:c r="N169" s="245"/>
      <x:c r="O169" s="245"/>
      <x:c r="P169" s="245"/>
      <x:c r="Q169" s="245"/>
    </x:row>
  </x:sheetData>
  <x:mergeCells>
    <x:mergeCell ref="A1:O1"/>
    <x:mergeCell ref="A2:O2"/>
    <x:mergeCell ref="A36:O36"/>
    <x:mergeCell ref="A39:O39"/>
    <x:mergeCell ref="A63:O63"/>
    <x:mergeCell ref="A67:O67"/>
    <x:mergeCell ref="A75:O75"/>
    <x:mergeCell ref="F77:J77"/>
    <x:mergeCell ref="F78:J78"/>
    <x:mergeCell ref="F79:J79"/>
    <x:mergeCell ref="F80:J80"/>
    <x:mergeCell ref="F81:J81"/>
    <x:mergeCell ref="F82:J82"/>
    <x:mergeCell ref="A84:O84"/>
    <x:mergeCell ref="F86:O86"/>
    <x:mergeCell ref="F87:O87"/>
    <x:mergeCell ref="F88:O88"/>
    <x:mergeCell ref="F89:O89"/>
    <x:mergeCell ref="F90:O90"/>
    <x:mergeCell ref="F91:O91"/>
    <x:mergeCell ref="F92:O92"/>
    <x:mergeCell ref="F93:O93"/>
    <x:mergeCell ref="A96:O96"/>
    <x:mergeCell ref="F98:O98"/>
    <x:mergeCell ref="F99:O99"/>
    <x:mergeCell ref="F100:O100"/>
    <x:mergeCell ref="F101:O101"/>
    <x:mergeCell ref="F102:O102"/>
    <x:mergeCell ref="F103:O103"/>
    <x:mergeCell ref="F104:O104"/>
    <x:mergeCell ref="F105:O105"/>
    <x:mergeCell ref="F106:O106"/>
    <x:mergeCell ref="F107:O107"/>
    <x:mergeCell ref="F108:O108"/>
    <x:mergeCell ref="A111:O111"/>
    <x:mergeCell ref="C113:O113"/>
    <x:mergeCell ref="C114:O114"/>
    <x:mergeCell ref="C115:O115"/>
    <x:mergeCell ref="C116:O116"/>
    <x:mergeCell ref="C117:O117"/>
    <x:mergeCell ref="C118:O118"/>
    <x:mergeCell ref="C119:O119"/>
    <x:mergeCell ref="C120:O120"/>
    <x:mergeCell ref="A122:O122"/>
    <x:mergeCell ref="A124:O124"/>
    <x:mergeCell ref="B126:C126"/>
    <x:mergeCell ref="D126:F126"/>
    <x:mergeCell ref="G126:H126"/>
    <x:mergeCell ref="I126:O126"/>
    <x:mergeCell ref="A127:O127"/>
    <x:mergeCell ref="B129:C129"/>
    <x:mergeCell ref="D129:F129"/>
    <x:mergeCell ref="G129:H129"/>
    <x:mergeCell ref="I129:O129"/>
    <x:mergeCell ref="A130:O130"/>
    <x:mergeCell ref="B132:C132"/>
    <x:mergeCell ref="D132:F132"/>
    <x:mergeCell ref="G132:H132"/>
    <x:mergeCell ref="I132:O132"/>
    <x:mergeCell ref="A133:O133"/>
    <x:mergeCell ref="B135:C135"/>
    <x:mergeCell ref="D135:F135"/>
    <x:mergeCell ref="G135:H135"/>
    <x:mergeCell ref="I135:O135"/>
    <x:mergeCell ref="A136:O136"/>
    <x:mergeCell ref="B138:C138"/>
    <x:mergeCell ref="D138:F138"/>
    <x:mergeCell ref="G138:H138"/>
    <x:mergeCell ref="I138:O138"/>
    <x:mergeCell ref="A139:O139"/>
    <x:mergeCell ref="B141:C141"/>
    <x:mergeCell ref="D141:F141"/>
    <x:mergeCell ref="G141:H141"/>
    <x:mergeCell ref="I141:O141"/>
    <x:mergeCell ref="A142:O142"/>
    <x:mergeCell ref="B144:C144"/>
    <x:mergeCell ref="D144:F144"/>
    <x:mergeCell ref="G144:H144"/>
    <x:mergeCell ref="I144:O144"/>
    <x:mergeCell ref="A145:O145"/>
    <x:mergeCell ref="B147:C147"/>
    <x:mergeCell ref="D147:F147"/>
    <x:mergeCell ref="G147:H147"/>
    <x:mergeCell ref="I147:O147"/>
    <x:mergeCell ref="A148:O148"/>
    <x:mergeCell ref="B150:C150"/>
    <x:mergeCell ref="D150:F150"/>
    <x:mergeCell ref="G150:H150"/>
    <x:mergeCell ref="I150:O150"/>
    <x:mergeCell ref="A151:O151"/>
    <x:mergeCell ref="B153:C153"/>
    <x:mergeCell ref="D153:F153"/>
    <x:mergeCell ref="G153:H153"/>
    <x:mergeCell ref="I153:O153"/>
    <x:mergeCell ref="A154:O154"/>
    <x:mergeCell ref="B156:C156"/>
    <x:mergeCell ref="D156:F156"/>
    <x:mergeCell ref="G156:H156"/>
    <x:mergeCell ref="I156:O156"/>
    <x:mergeCell ref="A157:O157"/>
    <x:mergeCell ref="B159:C159"/>
    <x:mergeCell ref="D159:F159"/>
    <x:mergeCell ref="G159:H159"/>
    <x:mergeCell ref="I159:O159"/>
    <x:mergeCell ref="A160:O160"/>
    <x:mergeCell ref="B162:C162"/>
    <x:mergeCell ref="D162:F162"/>
    <x:mergeCell ref="G162:H162"/>
    <x:mergeCell ref="I162:O162"/>
    <x:mergeCell ref="A163:O163"/>
  </x:mergeCells>
  <x:pageMargins left="0.7" right="0.7" top="0.75" bottom="0.75" header="0.3" footer="0.3"/>
  <x:drawing xmlns:r="http://schemas.openxmlformats.org/officeDocument/2006/relationships" r:id="Rc837facce8924a5a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32" customHeight="1">
      <x:c r="A1" s="172" t="str">
        <x:v>公司业绩全览｜实际经营与基准预测</x:v>
      </x:c>
      <x:c r="B1" s="172"/>
      <x:c r="C1" s="172"/>
      <x:c r="D1" s="172"/>
      <x:c r="E1" s="172"/>
      <x:c r="F1" s="172"/>
      <x:c r="G1" s="172"/>
      <x:c r="H1" s="172"/>
      <x:c r="I1" s="172"/>
      <x:c r="J1" s="172"/>
      <x:c r="K1" s="172"/>
      <x:c r="L1" s="172"/>
      <x:c r="M1" s="172"/>
      <x:c r="N1" s="172"/>
      <x:c r="O1" s="172"/>
      <x:c r="P1" s="245"/>
      <x:c r="Q1" s="245"/>
    </x:row>
    <x:row r="2" ht="28" customHeight="1">
      <x:c r="A2" s="174" t="str">
        <x:v>金额单位：亿元。2025A为全年实际，2026H1A为上半年实际；2026—2030E引用同一套可编辑预测。</x:v>
      </x:c>
      <x:c r="B2" s="174"/>
      <x:c r="C2" s="174"/>
      <x:c r="D2" s="174"/>
      <x:c r="E2" s="174"/>
      <x:c r="F2" s="174"/>
      <x:c r="G2" s="174"/>
      <x:c r="H2" s="174"/>
      <x:c r="I2" s="174"/>
      <x:c r="J2" s="174"/>
      <x:c r="K2" s="174"/>
      <x:c r="L2" s="174"/>
      <x:c r="M2" s="174"/>
      <x:c r="N2" s="174"/>
      <x:c r="O2" s="174"/>
      <x:c r="P2" s="245"/>
      <x:c r="Q2" s="245"/>
    </x:row>
    <x:row r="3">
      <x:c r="A3" s="245"/>
      <x:c r="B3" s="245"/>
      <x:c r="C3" s="245"/>
      <x:c r="D3" s="245"/>
      <x:c r="E3" s="245"/>
      <x:c r="F3" s="245"/>
      <x:c r="G3" s="245"/>
      <x:c r="H3" s="245"/>
      <x:c r="I3" s="245"/>
      <x:c r="J3" s="245"/>
      <x:c r="K3" s="245"/>
      <x:c r="L3" s="245"/>
      <x:c r="M3" s="245"/>
      <x:c r="N3" s="245"/>
      <x:c r="O3" s="245"/>
      <x:c r="P3" s="245"/>
      <x:c r="Q3" s="245"/>
    </x:row>
    <x:row r="4">
      <x:c r="A4" s="245"/>
      <x:c r="B4" s="245"/>
      <x:c r="C4" s="245"/>
      <x:c r="D4" s="245"/>
      <x:c r="E4" s="245"/>
      <x:c r="F4" s="245"/>
      <x:c r="G4" s="245"/>
      <x:c r="H4" s="245"/>
      <x:c r="I4" s="245"/>
      <x:c r="J4" s="245"/>
      <x:c r="K4" s="245"/>
      <x:c r="L4" s="245"/>
      <x:c r="M4" s="245"/>
      <x:c r="N4" s="245"/>
      <x:c r="O4" s="245"/>
      <x:c r="P4" s="245"/>
      <x:c r="Q4" s="245"/>
    </x:row>
    <x:row r="5">
      <x:c r="A5" s="245"/>
      <x:c r="B5" s="245"/>
      <x:c r="C5" s="245"/>
      <x:c r="D5" s="245"/>
      <x:c r="E5" s="245"/>
      <x:c r="F5" s="245"/>
      <x:c r="G5" s="245"/>
      <x:c r="H5" s="245"/>
      <x:c r="I5" s="245"/>
      <x:c r="J5" s="245"/>
      <x:c r="K5" s="245"/>
      <x:c r="L5" s="245"/>
      <x:c r="M5" s="245"/>
      <x:c r="N5" s="245"/>
      <x:c r="O5" s="245"/>
      <x:c r="P5" s="245"/>
      <x:c r="Q5" s="245"/>
    </x:row>
    <x:row r="6">
      <x:c r="A6" s="245"/>
      <x:c r="B6" s="245"/>
      <x:c r="C6" s="245"/>
      <x:c r="D6" s="245"/>
      <x:c r="E6" s="245"/>
      <x:c r="F6" s="245"/>
      <x:c r="G6" s="245"/>
      <x:c r="H6" s="245"/>
      <x:c r="I6" s="245"/>
      <x:c r="J6" s="245"/>
      <x:c r="K6" s="245"/>
      <x:c r="L6" s="245"/>
      <x:c r="M6" s="245"/>
      <x:c r="N6" s="245"/>
      <x:c r="O6" s="245"/>
      <x:c r="P6" s="245"/>
      <x:c r="Q6" s="245"/>
    </x:row>
    <x:row r="7">
      <x:c r="A7" s="245"/>
      <x:c r="B7" s="245"/>
      <x:c r="C7" s="245"/>
      <x:c r="D7" s="245"/>
      <x:c r="E7" s="245"/>
      <x:c r="F7" s="245"/>
      <x:c r="G7" s="245"/>
      <x:c r="H7" s="245"/>
      <x:c r="I7" s="245"/>
      <x:c r="J7" s="245"/>
      <x:c r="K7" s="245"/>
      <x:c r="L7" s="245"/>
      <x:c r="M7" s="245"/>
      <x:c r="N7" s="245"/>
      <x:c r="O7" s="245"/>
      <x:c r="P7" s="245"/>
      <x:c r="Q7" s="245"/>
    </x:row>
    <x:row r="8">
      <x:c r="A8" s="245"/>
      <x:c r="B8" s="245"/>
      <x:c r="C8" s="245"/>
      <x:c r="D8" s="245"/>
      <x:c r="E8" s="245"/>
      <x:c r="F8" s="245"/>
      <x:c r="G8" s="245"/>
      <x:c r="H8" s="245"/>
      <x:c r="I8" s="245"/>
      <x:c r="J8" s="245"/>
      <x:c r="K8" s="245"/>
      <x:c r="L8" s="245"/>
      <x:c r="M8" s="245"/>
      <x:c r="N8" s="245"/>
      <x:c r="O8" s="245"/>
      <x:c r="P8" s="245"/>
      <x:c r="Q8" s="245"/>
    </x:row>
    <x:row r="9">
      <x:c r="A9" s="245"/>
      <x:c r="B9" s="245"/>
      <x:c r="C9" s="245"/>
      <x:c r="D9" s="245"/>
      <x:c r="E9" s="245"/>
      <x:c r="F9" s="245"/>
      <x:c r="G9" s="245"/>
      <x:c r="H9" s="245"/>
      <x:c r="I9" s="245"/>
      <x:c r="J9" s="245"/>
      <x:c r="K9" s="245"/>
      <x:c r="L9" s="245"/>
      <x:c r="M9" s="245"/>
      <x:c r="N9" s="245"/>
      <x:c r="O9" s="245"/>
      <x:c r="P9" s="245"/>
      <x:c r="Q9" s="245"/>
    </x:row>
    <x:row r="10">
      <x:c r="A10" s="245"/>
      <x:c r="B10" s="245"/>
      <x:c r="C10" s="245"/>
      <x:c r="D10" s="245"/>
      <x:c r="E10" s="245"/>
      <x:c r="F10" s="245"/>
      <x:c r="G10" s="245"/>
      <x:c r="H10" s="245"/>
      <x:c r="I10" s="245"/>
      <x:c r="J10" s="245"/>
      <x:c r="K10" s="245"/>
      <x:c r="L10" s="245"/>
      <x:c r="M10" s="245"/>
      <x:c r="N10" s="245"/>
      <x:c r="O10" s="245"/>
      <x:c r="P10" s="245"/>
      <x:c r="Q10" s="245"/>
    </x:row>
    <x:row r="11">
      <x:c r="A11" s="245"/>
      <x:c r="B11" s="245"/>
      <x:c r="C11" s="245"/>
      <x:c r="D11" s="245"/>
      <x:c r="E11" s="245"/>
      <x:c r="F11" s="245"/>
      <x:c r="G11" s="245"/>
      <x:c r="H11" s="245"/>
      <x:c r="I11" s="245"/>
      <x:c r="J11" s="245"/>
      <x:c r="K11" s="245"/>
      <x:c r="L11" s="245"/>
      <x:c r="M11" s="245"/>
      <x:c r="N11" s="245"/>
      <x:c r="O11" s="245"/>
      <x:c r="P11" s="245"/>
      <x:c r="Q11" s="245"/>
    </x:row>
    <x:row r="12">
      <x:c r="A12" s="245"/>
      <x:c r="B12" s="245"/>
      <x:c r="C12" s="245"/>
      <x:c r="D12" s="245"/>
      <x:c r="E12" s="245"/>
      <x:c r="F12" s="245"/>
      <x:c r="G12" s="245"/>
      <x:c r="H12" s="245"/>
      <x:c r="I12" s="245"/>
      <x:c r="J12" s="245"/>
      <x:c r="K12" s="245"/>
      <x:c r="L12" s="245"/>
      <x:c r="M12" s="245"/>
      <x:c r="N12" s="245"/>
      <x:c r="O12" s="245"/>
      <x:c r="P12" s="245"/>
      <x:c r="Q12" s="245"/>
    </x:row>
    <x:row r="13">
      <x:c r="A13" s="245"/>
      <x:c r="B13" s="245"/>
      <x:c r="C13" s="245"/>
      <x:c r="D13" s="245"/>
      <x:c r="E13" s="245"/>
      <x:c r="F13" s="245"/>
      <x:c r="G13" s="245"/>
      <x:c r="H13" s="245"/>
      <x:c r="I13" s="245"/>
      <x:c r="J13" s="245"/>
      <x:c r="K13" s="245"/>
      <x:c r="L13" s="245"/>
      <x:c r="M13" s="245"/>
      <x:c r="N13" s="245"/>
      <x:c r="O13" s="245"/>
      <x:c r="P13" s="245"/>
      <x:c r="Q13" s="245"/>
    </x:row>
    <x:row r="14">
      <x:c r="A14" s="245"/>
      <x:c r="B14" s="245"/>
      <x:c r="C14" s="245"/>
      <x:c r="D14" s="245"/>
      <x:c r="E14" s="245"/>
      <x:c r="F14" s="245"/>
      <x:c r="G14" s="245"/>
      <x:c r="H14" s="245"/>
      <x:c r="I14" s="245"/>
      <x:c r="J14" s="245"/>
      <x:c r="K14" s="245"/>
      <x:c r="L14" s="245"/>
      <x:c r="M14" s="245"/>
      <x:c r="N14" s="245"/>
      <x:c r="O14" s="245"/>
      <x:c r="P14" s="245"/>
      <x:c r="Q14" s="245"/>
    </x:row>
    <x:row r="15">
      <x:c r="A15" s="245"/>
      <x:c r="B15" s="245"/>
      <x:c r="C15" s="245"/>
      <x:c r="D15" s="245"/>
      <x:c r="E15" s="245"/>
      <x:c r="F15" s="245"/>
      <x:c r="G15" s="245"/>
      <x:c r="H15" s="245"/>
      <x:c r="I15" s="245"/>
      <x:c r="J15" s="245"/>
      <x:c r="K15" s="245"/>
      <x:c r="L15" s="245"/>
      <x:c r="M15" s="245"/>
      <x:c r="N15" s="245"/>
      <x:c r="O15" s="245"/>
      <x:c r="P15" s="245"/>
      <x:c r="Q15" s="245"/>
    </x:row>
    <x:row r="16">
      <x:c r="A16" s="245"/>
      <x:c r="B16" s="245"/>
      <x:c r="C16" s="245"/>
      <x:c r="D16" s="245"/>
      <x:c r="E16" s="245"/>
      <x:c r="F16" s="245"/>
      <x:c r="G16" s="245"/>
      <x:c r="H16" s="245"/>
      <x:c r="I16" s="245"/>
      <x:c r="J16" s="245"/>
      <x:c r="K16" s="245"/>
      <x:c r="L16" s="245"/>
      <x:c r="M16" s="245"/>
      <x:c r="N16" s="245"/>
      <x:c r="O16" s="245"/>
      <x:c r="P16" s="245"/>
      <x:c r="Q16" s="245"/>
    </x:row>
    <x:row r="17">
      <x:c r="A17" s="245"/>
      <x:c r="B17" s="245"/>
      <x:c r="C17" s="245"/>
      <x:c r="D17" s="245"/>
      <x:c r="E17" s="245"/>
      <x:c r="F17" s="245"/>
      <x:c r="G17" s="245"/>
      <x:c r="H17" s="245"/>
      <x:c r="I17" s="245"/>
      <x:c r="J17" s="245"/>
      <x:c r="K17" s="245"/>
      <x:c r="L17" s="245"/>
      <x:c r="M17" s="245"/>
      <x:c r="N17" s="245"/>
      <x:c r="O17" s="245"/>
      <x:c r="P17" s="245"/>
      <x:c r="Q17" s="245"/>
    </x:row>
    <x:row r="18">
      <x:c r="A18" s="245"/>
      <x:c r="B18" s="245"/>
      <x:c r="C18" s="245"/>
      <x:c r="D18" s="245"/>
      <x:c r="E18" s="245"/>
      <x:c r="F18" s="245"/>
      <x:c r="G18" s="245"/>
      <x:c r="H18" s="245"/>
      <x:c r="I18" s="245"/>
      <x:c r="J18" s="245"/>
      <x:c r="K18" s="245"/>
      <x:c r="L18" s="245"/>
      <x:c r="M18" s="245"/>
      <x:c r="N18" s="245"/>
      <x:c r="O18" s="245"/>
      <x:c r="P18" s="245"/>
      <x:c r="Q18" s="245"/>
    </x:row>
    <x:row r="19">
      <x:c r="A19" s="245"/>
      <x:c r="B19" s="245"/>
      <x:c r="C19" s="245"/>
      <x:c r="D19" s="245"/>
      <x:c r="E19" s="245"/>
      <x:c r="F19" s="245"/>
      <x:c r="G19" s="245"/>
      <x:c r="H19" s="245"/>
      <x:c r="I19" s="245"/>
      <x:c r="J19" s="245"/>
      <x:c r="K19" s="245"/>
      <x:c r="L19" s="245"/>
      <x:c r="M19" s="245"/>
      <x:c r="N19" s="245"/>
      <x:c r="O19" s="245"/>
      <x:c r="P19" s="245"/>
      <x:c r="Q19" s="245"/>
    </x:row>
    <x:row r="20">
      <x:c r="A20" s="245"/>
      <x:c r="B20" s="245"/>
      <x:c r="C20" s="245"/>
      <x:c r="D20" s="245"/>
      <x:c r="E20" s="245"/>
      <x:c r="F20" s="245"/>
      <x:c r="G20" s="245"/>
      <x:c r="H20" s="245"/>
      <x:c r="I20" s="245"/>
      <x:c r="J20" s="245"/>
      <x:c r="K20" s="245"/>
      <x:c r="L20" s="245"/>
      <x:c r="M20" s="245"/>
      <x:c r="N20" s="245"/>
      <x:c r="O20" s="245"/>
      <x:c r="P20" s="245"/>
      <x:c r="Q20" s="245"/>
    </x:row>
    <x:row r="21">
      <x:c r="A21" s="245"/>
      <x:c r="B21" s="245"/>
      <x:c r="C21" s="245"/>
      <x:c r="D21" s="245"/>
      <x:c r="E21" s="245"/>
      <x:c r="F21" s="245"/>
      <x:c r="G21" s="245"/>
      <x:c r="H21" s="245"/>
      <x:c r="I21" s="245"/>
      <x:c r="J21" s="245"/>
      <x:c r="K21" s="245"/>
      <x:c r="L21" s="245"/>
      <x:c r="M21" s="245"/>
      <x:c r="N21" s="245"/>
      <x:c r="O21" s="245"/>
      <x:c r="P21" s="245"/>
      <x:c r="Q21" s="245"/>
    </x:row>
    <x:row r="22">
      <x:c r="A22" s="245"/>
      <x:c r="B22" s="245"/>
      <x:c r="C22" s="245"/>
      <x:c r="D22" s="245"/>
      <x:c r="E22" s="245"/>
      <x:c r="F22" s="245"/>
      <x:c r="G22" s="245"/>
      <x:c r="H22" s="245"/>
      <x:c r="I22" s="245"/>
      <x:c r="J22" s="245"/>
      <x:c r="K22" s="245"/>
      <x:c r="L22" s="245"/>
      <x:c r="M22" s="245"/>
      <x:c r="N22" s="245"/>
      <x:c r="O22" s="245"/>
      <x:c r="P22" s="245"/>
      <x:c r="Q22" s="245"/>
    </x:row>
    <x:row r="23" ht="40" customHeight="1">
      <x:c r="A23" s="192" t="str">
        <x:v>2026H1A不作年化，也不与2026E重复加总。利润表保留报告期减值、股份支付与汇兑影响；应用市场毛利率未披露，历史分部毛利率和毛利润留空。</x:v>
      </x:c>
      <x:c r="B23" s="192"/>
      <x:c r="C23" s="192"/>
      <x:c r="D23" s="192"/>
      <x:c r="E23" s="192"/>
      <x:c r="F23" s="192"/>
      <x:c r="G23" s="192"/>
      <x:c r="H23" s="192"/>
      <x:c r="I23" s="192"/>
      <x:c r="J23" s="192"/>
      <x:c r="K23" s="192"/>
      <x:c r="L23" s="192"/>
      <x:c r="M23" s="192"/>
      <x:c r="N23" s="192"/>
      <x:c r="O23" s="192"/>
      <x:c r="P23" s="245"/>
      <x:c r="Q23" s="245"/>
    </x:row>
    <x:row r="24">
      <x:c r="A24" s="245"/>
      <x:c r="B24" s="245"/>
      <x:c r="C24" s="245"/>
      <x:c r="D24" s="245"/>
      <x:c r="E24" s="245"/>
      <x:c r="F24" s="245"/>
      <x:c r="G24" s="245"/>
      <x:c r="H24" s="245"/>
      <x:c r="I24" s="245"/>
      <x:c r="J24" s="245"/>
      <x:c r="K24" s="245"/>
      <x:c r="L24" s="245"/>
      <x:c r="M24" s="245"/>
      <x:c r="N24" s="245"/>
      <x:c r="O24" s="245"/>
      <x:c r="P24" s="245"/>
      <x:c r="Q24" s="245"/>
    </x:row>
    <x:row r="25">
      <x:c r="A25" s="245"/>
      <x:c r="B25" s="245"/>
      <x:c r="C25" s="245"/>
      <x:c r="D25" s="245"/>
      <x:c r="E25" s="245"/>
      <x:c r="F25" s="245"/>
      <x:c r="G25" s="245"/>
      <x:c r="H25" s="245"/>
      <x:c r="I25" s="245"/>
      <x:c r="J25" s="245"/>
      <x:c r="K25" s="245"/>
      <x:c r="L25" s="245"/>
      <x:c r="M25" s="245"/>
      <x:c r="N25" s="245"/>
      <x:c r="O25" s="245"/>
      <x:c r="P25" s="245"/>
      <x:c r="Q25" s="245"/>
    </x:row>
    <x:row r="26" ht="36" customHeight="1">
      <x:c r="A26" s="176" t="str">
        <x:v>利润表与经营指标</x:v>
      </x:c>
      <x:c r="B26" s="264" t="str">
        <x:v>2025A</x:v>
      </x:c>
      <x:c r="C26" s="264" t="str">
        <x:v>2026H1A</x:v>
      </x:c>
      <x:c r="D26" s="176" t="str">
        <x:v>2026E</x:v>
      </x:c>
      <x:c r="E26" s="176" t="str">
        <x:v>2027E</x:v>
      </x:c>
      <x:c r="F26" s="176" t="str">
        <x:v>2028E</x:v>
      </x:c>
      <x:c r="G26" s="176" t="str">
        <x:v>2029E</x:v>
      </x:c>
      <x:c r="H26" s="176" t="str">
        <x:v>2030E</x:v>
      </x:c>
      <x:c r="I26" s="245"/>
      <x:c r="J26" s="245"/>
      <x:c r="K26" s="245"/>
      <x:c r="L26" s="245"/>
      <x:c r="M26" s="245"/>
      <x:c r="N26" s="245"/>
      <x:c r="O26" s="245"/>
      <x:c r="P26" s="245"/>
      <x:c r="Q26" s="245"/>
    </x:row>
    <x:row r="27" ht="24" customHeight="1">
      <x:c r="A27" s="265" t="str">
        <x:v>营业收入</x:v>
      </x:c>
      <x:c r="B27" s="266" t="n">
        <x:f>B91</x:f>
        <x:v>8.7999932916</x:v>
      </x:c>
      <x:c r="C27" s="266" t="n">
        <x:f>C91</x:f>
        <x:v>4.1856510076</x:v>
      </x:c>
      <x:c r="D27" s="267" t="n">
        <x:f>'合并预测'!B14</x:f>
        <x:v>11.3114144</x:v>
      </x:c>
      <x:c r="E27" s="267" t="n">
        <x:f>'合并预测'!C14</x:f>
        <x:v>39.989853600000004</x:v>
      </x:c>
      <x:c r="F27" s="267" t="n">
        <x:f>'合并预测'!D14</x:f>
        <x:v>107.689760688</x:v>
      </x:c>
      <x:c r="G27" s="267" t="n">
        <x:f>'合并预测'!E14</x:f>
        <x:v>184.96422548448004</x:v>
      </x:c>
      <x:c r="H27" s="267" t="n">
        <x:f>'合并预测'!F14</x:f>
        <x:v>256.108988794752</x:v>
      </x:c>
      <x:c r="I27" s="245"/>
      <x:c r="J27" s="245"/>
      <x:c r="K27" s="245"/>
      <x:c r="L27" s="245"/>
      <x:c r="M27" s="245"/>
      <x:c r="N27" s="245"/>
      <x:c r="O27" s="245"/>
      <x:c r="P27" s="245"/>
      <x:c r="Q27" s="245"/>
    </x:row>
    <x:row r="28" ht="24" customHeight="1">
      <x:c r="A28" s="240" t="str">
        <x:v>营业成本</x:v>
      </x:c>
      <x:c r="B28" s="268" t="n">
        <x:f>B92</x:f>
        <x:v>5.6511226069000005</x:v>
      </x:c>
      <x:c r="C28" s="268" t="n">
        <x:f>C92</x:f>
        <x:v>2.3717133604</x:v>
      </x:c>
      <x:c r="D28" s="257" t="n">
        <x:f>D27-D29</x:f>
        <x:v>5.807425760000001</x:v>
      </x:c>
      <x:c r="E28" s="257" t="n">
        <x:f>E27-E29</x:f>
        <x:v>17.668121440000004</x:v>
      </x:c>
      <x:c r="F28" s="257" t="n">
        <x:f>F27-F29</x:f>
        <x:v>45.40020177520001</x:v>
      </x:c>
      <x:c r="G28" s="257" t="n">
        <x:f>G27-G29</x:f>
        <x:v>76.718897943792</x:v>
      </x:c>
      <x:c r="H28" s="257" t="n">
        <x:f>H27-H29</x:f>
        <x:v>105.54606481790083</x:v>
      </x:c>
      <x:c r="I28" s="245"/>
      <x:c r="J28" s="245"/>
      <x:c r="K28" s="245"/>
      <x:c r="L28" s="245"/>
      <x:c r="M28" s="245"/>
      <x:c r="N28" s="245"/>
      <x:c r="O28" s="245"/>
      <x:c r="P28" s="245"/>
      <x:c r="Q28" s="245"/>
    </x:row>
    <x:row r="29" ht="24" customHeight="1">
      <x:c r="A29" s="265" t="str">
        <x:v>毛利润</x:v>
      </x:c>
      <x:c r="B29" s="266" t="n">
        <x:f>B27-B28</x:f>
        <x:v>3.1488706846999994</x:v>
      </x:c>
      <x:c r="C29" s="266" t="n">
        <x:f>C27-C28</x:f>
        <x:v>1.8139376472</x:v>
      </x:c>
      <x:c r="D29" s="267" t="n">
        <x:f>'合并预测'!B15</x:f>
        <x:v>5.503988639999999</x:v>
      </x:c>
      <x:c r="E29" s="267" t="n">
        <x:f>'合并预测'!C15</x:f>
        <x:v>22.32173216</x:v>
      </x:c>
      <x:c r="F29" s="267" t="n">
        <x:f>'合并预测'!D15</x:f>
        <x:v>62.2895589128</x:v>
      </x:c>
      <x:c r="G29" s="267" t="n">
        <x:f>'合并预测'!E15</x:f>
        <x:v>108.24532754068804</x:v>
      </x:c>
      <x:c r="H29" s="267" t="n">
        <x:f>'合并预测'!F15</x:f>
        <x:v>150.56292397685118</x:v>
      </x:c>
      <x:c r="I29" s="245"/>
      <x:c r="J29" s="245"/>
      <x:c r="K29" s="245"/>
      <x:c r="L29" s="245"/>
      <x:c r="M29" s="245"/>
      <x:c r="N29" s="245"/>
      <x:c r="O29" s="245"/>
      <x:c r="P29" s="245"/>
      <x:c r="Q29" s="245"/>
    </x:row>
    <x:row r="30" ht="24" customHeight="1">
      <x:c r="A30" s="240" t="str">
        <x:v>综合毛利率</x:v>
      </x:c>
      <x:c r="B30" s="269" t="n">
        <x:f>IF(B27=0,0,B29/B27)</x:f>
        <x:v>0.35782648694809144</x:v>
      </x:c>
      <x:c r="C30" s="269" t="n">
        <x:f>IF(C27=0,0,C29/C27)</x:f>
        <x:v>0.43337049455541904</x:v>
      </x:c>
      <x:c r="D30" s="256" t="n">
        <x:f>IF(D27=0,0,D29/D27)</x:f>
        <x:v>0.48658712742413535</x:v>
      </x:c>
      <x:c r="E30" s="256" t="n">
        <x:f>IF(E27=0,0,E29/E27)</x:f>
        <x:v>0.558184893180004</x:v>
      </x:c>
      <x:c r="F30" s="256" t="n">
        <x:f>IF(F27=0,0,F29/F27)</x:f>
        <x:v>0.5784167270393145</x:v>
      </x:c>
      <x:c r="G30" s="256" t="n">
        <x:f>IF(G27=0,0,G29/G27)</x:f>
        <x:v>0.5852230465494566</x:v>
      </x:c>
      <x:c r="H30" s="256" t="n">
        <x:f>IF(H27=0,0,H29/H27)</x:f>
        <x:v>0.5878861366225362</x:v>
      </x:c>
      <x:c r="I30" s="245"/>
      <x:c r="J30" s="245"/>
      <x:c r="K30" s="245"/>
      <x:c r="L30" s="245"/>
      <x:c r="M30" s="245"/>
      <x:c r="N30" s="245"/>
      <x:c r="O30" s="245"/>
      <x:c r="P30" s="245"/>
      <x:c r="Q30" s="245"/>
    </x:row>
    <x:row r="31" ht="24" customHeight="1">
      <x:c r="A31" s="240" t="str">
        <x:v>销售费用</x:v>
      </x:c>
      <x:c r="B31" s="268" t="n">
        <x:f>B93</x:f>
        <x:v>0.48776821369999995</x:v>
      </x:c>
      <x:c r="C31" s="268" t="n">
        <x:f>C93</x:f>
        <x:v>0.2340340627</x:v>
      </x:c>
      <x:c r="D31" s="270" t="n">
        <x:f>-'合并预测'!B17</x:f>
        <x:v>0.5429478912</x:v>
      </x:c>
      <x:c r="E31" s="270" t="n">
        <x:f>-'合并预测'!C17</x:f>
        <x:v>1.799543412</x:v>
      </x:c>
      <x:c r="F31" s="270" t="n">
        <x:f>-'合并预测'!D17</x:f>
        <x:v>3.2306928206400003</x:v>
      </x:c>
      <x:c r="G31" s="270" t="n">
        <x:f>-'合并预测'!E17</x:f>
        <x:v>5.178998313565441</x:v>
      </x:c>
      <x:c r="H31" s="270" t="n">
        <x:f>-'合并预测'!F17</x:f>
        <x:v>6.4027247198688</x:v>
      </x:c>
      <x:c r="I31" s="245"/>
      <x:c r="J31" s="245"/>
      <x:c r="K31" s="245"/>
      <x:c r="L31" s="245"/>
      <x:c r="M31" s="245"/>
      <x:c r="N31" s="245"/>
      <x:c r="O31" s="245"/>
      <x:c r="P31" s="245"/>
      <x:c r="Q31" s="245"/>
    </x:row>
    <x:row r="32" ht="24" customHeight="1">
      <x:c r="A32" s="240" t="str">
        <x:v>管理费用</x:v>
      </x:c>
      <x:c r="B32" s="268" t="n">
        <x:f>B94</x:f>
        <x:v>1.5368044143000001</x:v>
      </x:c>
      <x:c r="C32" s="268" t="n">
        <x:f>C94</x:f>
        <x:v>0.7384157309999999</x:v>
      </x:c>
      <x:c r="D32" s="270" t="n">
        <x:f>-'合并预测'!B18</x:f>
        <x:v>1.5270409440000001</x:v>
      </x:c>
      <x:c r="E32" s="270" t="n">
        <x:f>-'合并预测'!C18</x:f>
        <x:v>4.598833164</x:v>
      </x:c>
      <x:c r="F32" s="270" t="n">
        <x:f>-'合并预测'!D18</x:f>
        <x:v>10.7689760688</x:v>
      </x:c>
      <x:c r="G32" s="270" t="n">
        <x:f>-'合并预测'!E18</x:f>
        <x:v>17.571601421025605</x:v>
      </x:c>
      <x:c r="H32" s="270" t="n">
        <x:f>-'合并预测'!F18</x:f>
        <x:v>23.04980899152768</x:v>
      </x:c>
      <x:c r="I32" s="245"/>
      <x:c r="J32" s="245"/>
      <x:c r="K32" s="245"/>
      <x:c r="L32" s="245"/>
      <x:c r="M32" s="245"/>
      <x:c r="N32" s="245"/>
      <x:c r="O32" s="245"/>
      <x:c r="P32" s="245"/>
      <x:c r="Q32" s="245"/>
    </x:row>
    <x:row r="33" ht="24" customHeight="1">
      <x:c r="A33" s="240" t="str">
        <x:v>研发费用</x:v>
      </x:c>
      <x:c r="B33" s="268" t="n">
        <x:f>B95</x:f>
        <x:v>1.7122609469999999</x:v>
      </x:c>
      <x:c r="C33" s="268" t="n">
        <x:f>C95</x:f>
        <x:v>0.8908166665</x:v>
      </x:c>
      <x:c r="D33" s="270" t="n">
        <x:f>-'合并预测'!B19</x:f>
        <x:v>1.809826304</x:v>
      </x:c>
      <x:c r="E33" s="270" t="n">
        <x:f>-'合并预测'!C19</x:f>
        <x:v>5.398630236000001</x:v>
      </x:c>
      <x:c r="F33" s="270" t="n">
        <x:f>-'合并预测'!D19</x:f>
        <x:v>10.7689760688</x:v>
      </x:c>
      <x:c r="G33" s="270" t="n">
        <x:f>-'合并预测'!E19</x:f>
        <x:v>17.571601421025605</x:v>
      </x:c>
      <x:c r="H33" s="270" t="n">
        <x:f>-'合并预测'!F19</x:f>
        <x:v>23.04980899152768</x:v>
      </x:c>
      <x:c r="I33" s="245"/>
      <x:c r="J33" s="245"/>
      <x:c r="K33" s="245"/>
      <x:c r="L33" s="245"/>
      <x:c r="M33" s="245"/>
      <x:c r="N33" s="245"/>
      <x:c r="O33" s="245"/>
      <x:c r="P33" s="245"/>
      <x:c r="Q33" s="245"/>
    </x:row>
    <x:row r="34" ht="24" customHeight="1">
      <x:c r="A34" s="240" t="str">
        <x:v>财务费用</x:v>
      </x:c>
      <x:c r="B34" s="268" t="n">
        <x:f>B96</x:f>
        <x:v>-0.09033487130000001</x:v>
      </x:c>
      <x:c r="C34" s="268" t="n">
        <x:f>C96</x:f>
        <x:v>0.0845636987</x:v>
      </x:c>
      <x:c r="D34" s="270" t="n">
        <x:f>-'合并预测'!B20</x:f>
        <x:v>0.1357369728</x:v>
      </x:c>
      <x:c r="E34" s="270" t="n">
        <x:f>-'合并预测'!C20</x:f>
        <x:v>0.31991882880000005</x:v>
      </x:c>
      <x:c r="F34" s="270" t="n">
        <x:f>-'合并预测'!D20</x:f>
        <x:v>0.53844880344</x:v>
      </x:c>
      <x:c r="G34" s="270" t="n">
        <x:f>-'合并预测'!E20</x:f>
        <x:v>0.5548926764534401</x:v>
      </x:c>
      <x:c r="H34" s="270" t="n">
        <x:f>-'合并预测'!F20</x:f>
        <x:v>0.512217977589504</x:v>
      </x:c>
      <x:c r="I34" s="245"/>
      <x:c r="J34" s="245"/>
      <x:c r="K34" s="245"/>
      <x:c r="L34" s="245"/>
      <x:c r="M34" s="245"/>
      <x:c r="N34" s="245"/>
      <x:c r="O34" s="245"/>
      <x:c r="P34" s="245"/>
      <x:c r="Q34" s="245"/>
    </x:row>
    <x:row r="35" ht="24" customHeight="1">
      <x:c r="A35" s="240" t="str">
        <x:v>税金及附加</x:v>
      </x:c>
      <x:c r="B35" s="268" t="n">
        <x:f>B97</x:f>
        <x:v>0.04220683980000001</x:v>
      </x:c>
      <x:c r="C35" s="268" t="n">
        <x:f>C97</x:f>
        <x:v>0.0188023024</x:v>
      </x:c>
      <x:c r="D35" s="270" t="n">
        <x:f>-'合并预测'!B21</x:f>
        <x:v>0.0452456576</x:v>
      </x:c>
      <x:c r="E35" s="270" t="n">
        <x:f>-'合并预测'!C21</x:f>
        <x:v>0.1799543412</x:v>
      </x:c>
      <x:c r="F35" s="270" t="n">
        <x:f>-'合并预测'!D21</x:f>
        <x:v>0.484603923096</x:v>
      </x:c>
      <x:c r="G35" s="270" t="n">
        <x:f>-'合并预测'!E21</x:f>
        <x:v>0.9248211274224002</x:v>
      </x:c>
      <x:c r="H35" s="270" t="n">
        <x:f>-'合并预测'!F21</x:f>
        <x:v>1.2805449439737602</x:v>
      </x:c>
      <x:c r="I35" s="245"/>
      <x:c r="J35" s="245"/>
      <x:c r="K35" s="245"/>
      <x:c r="L35" s="245"/>
      <x:c r="M35" s="245"/>
      <x:c r="N35" s="245"/>
      <x:c r="O35" s="245"/>
      <x:c r="P35" s="245"/>
      <x:c r="Q35" s="245"/>
    </x:row>
    <x:row r="36" ht="24" customHeight="1">
      <x:c r="A36" s="240" t="str">
        <x:v>其他净收益</x:v>
      </x:c>
      <x:c r="B36" s="268" t="n">
        <x:f>B99</x:f>
        <x:v>0.324710862</x:v>
      </x:c>
      <x:c r="C36" s="268" t="n">
        <x:f>C99</x:f>
        <x:v>0.07742335640000002</x:v>
      </x:c>
      <x:c r="D36" s="270" t="n">
        <x:f>SUM('合并预测'!B22:B24,'合并预测'!B26:B27)</x:f>
        <x:v>0.08</x:v>
      </x:c>
      <x:c r="E36" s="270" t="n">
        <x:f>SUM('合并预测'!C22:C24,'合并预测'!C26:C27)</x:f>
        <x:v>0.1</x:v>
      </x:c>
      <x:c r="F36" s="270" t="n">
        <x:f>SUM('合并预测'!D22:D24,'合并预测'!D26:D27)</x:f>
        <x:v>0.12</x:v>
      </x:c>
      <x:c r="G36" s="270" t="n">
        <x:f>SUM('合并预测'!E22:E24,'合并预测'!E26:E27)</x:f>
        <x:v>0.14</x:v>
      </x:c>
      <x:c r="H36" s="270" t="n">
        <x:f>SUM('合并预测'!F22:F24,'合并预测'!F26:F27)</x:f>
        <x:v>0.16</x:v>
      </x:c>
      <x:c r="I36" s="245"/>
      <x:c r="J36" s="245"/>
      <x:c r="K36" s="245"/>
      <x:c r="L36" s="245"/>
      <x:c r="M36" s="245"/>
      <x:c r="N36" s="245"/>
      <x:c r="O36" s="245"/>
      <x:c r="P36" s="245"/>
      <x:c r="Q36" s="245"/>
    </x:row>
    <x:row r="37" ht="24" customHeight="1">
      <x:c r="A37" s="240" t="str">
        <x:v>资产减值损失</x:v>
      </x:c>
      <x:c r="B37" s="268" t="n">
        <x:f>B98</x:f>
        <x:v>0.42991409659999996</x:v>
      </x:c>
      <x:c r="C37" s="268" t="n">
        <x:f>C98</x:f>
        <x:v>0.6638112682</x:v>
      </x:c>
      <x:c r="D37" s="270" t="n">
        <x:f>-'合并预测'!B25</x:f>
        <x:v>0.7</x:v>
      </x:c>
      <x:c r="E37" s="270" t="n">
        <x:f>-'合并预测'!C25</x:f>
        <x:v>0.18</x:v>
      </x:c>
      <x:c r="F37" s="270" t="n">
        <x:f>-'合并预测'!D25</x:f>
        <x:v>0.1</x:v>
      </x:c>
      <x:c r="G37" s="270" t="n">
        <x:f>-'合并预测'!E25</x:f>
        <x:v>0.08</x:v>
      </x:c>
      <x:c r="H37" s="270" t="n">
        <x:f>-'合并预测'!F25</x:f>
        <x:v>0.06</x:v>
      </x:c>
      <x:c r="I37" s="245"/>
      <x:c r="J37" s="245"/>
      <x:c r="K37" s="245"/>
      <x:c r="L37" s="245"/>
      <x:c r="M37" s="245"/>
      <x:c r="N37" s="245"/>
      <x:c r="O37" s="245"/>
      <x:c r="P37" s="245"/>
      <x:c r="Q37" s="245"/>
    </x:row>
    <x:row r="38" ht="24" customHeight="1">
      <x:c r="A38" s="265" t="str">
        <x:v>利润总额</x:v>
      </x:c>
      <x:c r="B38" s="266" t="n">
        <x:f>B29-SUM(B31:B35)+B36-B37</x:f>
        <x:v>-0.6450380934000004</x:v>
      </x:c>
      <x:c r="C38" s="266" t="n">
        <x:f>C29-SUM(C31:C35)+C36-C37</x:f>
        <x:v>-0.7390827258999998</x:v>
      </x:c>
      <x:c r="D38" s="267" t="n">
        <x:f>'合并预测'!B28</x:f>
        <x:v>0.8231908703999995</x:v>
      </x:c>
      <x:c r="E38" s="267" t="n">
        <x:f>'合并预测'!C28</x:f>
        <x:v>9.944852177999998</x:v>
      </x:c>
      <x:c r="F38" s="267" t="n">
        <x:f>'合并预测'!D28</x:f>
        <x:v>36.51786122802399</x:v>
      </x:c>
      <x:c r="G38" s="267" t="n">
        <x:f>'合并预测'!E28</x:f>
        <x:v>66.50341258119555</x:v>
      </x:c>
      <x:c r="H38" s="267" t="n">
        <x:f>'合并预测'!F28</x:f>
        <x:v>96.36781835236376</x:v>
      </x:c>
      <x:c r="I38" s="245"/>
      <x:c r="J38" s="245"/>
      <x:c r="K38" s="245"/>
      <x:c r="L38" s="245"/>
      <x:c r="M38" s="245"/>
      <x:c r="N38" s="245"/>
      <x:c r="O38" s="245"/>
      <x:c r="P38" s="245"/>
      <x:c r="Q38" s="245"/>
    </x:row>
    <x:row r="39" ht="24" customHeight="1">
      <x:c r="A39" s="240" t="str">
        <x:v>所得税影响</x:v>
      </x:c>
      <x:c r="B39" s="268" t="n">
        <x:f>B101</x:f>
        <x:v>0.2609423507</x:v>
      </x:c>
      <x:c r="C39" s="268" t="n">
        <x:f>C101</x:f>
        <x:v>0.0667949227</x:v>
      </x:c>
      <x:c r="D39" s="270" t="n">
        <x:f>'合并预测'!B29</x:f>
        <x:v>0</x:v>
      </x:c>
      <x:c r="E39" s="270" t="n">
        <x:f>'合并预测'!C29</x:f>
        <x:v>-1.4917278266999996</x:v>
      </x:c>
      <x:c r="F39" s="270" t="n">
        <x:f>'合并预测'!D29</x:f>
        <x:v>-5.477679184203598</x:v>
      </x:c>
      <x:c r="G39" s="270" t="n">
        <x:f>'合并预测'!E29</x:f>
        <x:v>-9.975511887179332</x:v>
      </x:c>
      <x:c r="H39" s="270" t="n">
        <x:f>'合并预测'!F29</x:f>
        <x:v>-14.455172752854562</x:v>
      </x:c>
      <x:c r="I39" s="245"/>
      <x:c r="J39" s="245"/>
      <x:c r="K39" s="245"/>
      <x:c r="L39" s="245"/>
      <x:c r="M39" s="245"/>
      <x:c r="N39" s="245"/>
      <x:c r="O39" s="245"/>
      <x:c r="P39" s="245"/>
      <x:c r="Q39" s="245"/>
    </x:row>
    <x:row r="40" ht="24" customHeight="1">
      <x:c r="A40" s="265" t="str">
        <x:v>归母净利润</x:v>
      </x:c>
      <x:c r="B40" s="266" t="n">
        <x:f>SUM(B38:B39)</x:f>
        <x:v>-0.3840957427000004</x:v>
      </x:c>
      <x:c r="C40" s="266" t="n">
        <x:f>SUM(C38:C39)</x:f>
        <x:v>-0.6722878031999998</x:v>
      </x:c>
      <x:c r="D40" s="267" t="n">
        <x:f>'合并预测'!B30</x:f>
        <x:v>0.8231908703999995</x:v>
      </x:c>
      <x:c r="E40" s="267" t="n">
        <x:f>'合并预测'!C30</x:f>
        <x:v>8.453124351299998</x:v>
      </x:c>
      <x:c r="F40" s="267" t="n">
        <x:f>'合并预测'!D30</x:f>
        <x:v>31.04018204382039</x:v>
      </x:c>
      <x:c r="G40" s="267" t="n">
        <x:f>'合并预测'!E30</x:f>
        <x:v>56.52790069401622</x:v>
      </x:c>
      <x:c r="H40" s="267" t="n">
        <x:f>'合并预测'!F30</x:f>
        <x:v>81.91264559950919</x:v>
      </x:c>
      <x:c r="I40" s="245"/>
      <x:c r="J40" s="245"/>
      <x:c r="K40" s="245"/>
      <x:c r="L40" s="245"/>
      <x:c r="M40" s="245"/>
      <x:c r="N40" s="245"/>
      <x:c r="O40" s="245"/>
      <x:c r="P40" s="245"/>
      <x:c r="Q40" s="245"/>
    </x:row>
    <x:row r="41" ht="24" customHeight="1">
      <x:c r="A41" s="240" t="str">
        <x:v>净利率</x:v>
      </x:c>
      <x:c r="B41" s="269" t="n">
        <x:f>IF(B27=0,0,B40/B27)</x:f>
        <x:v>-0.04364727676174907</x:v>
      </x:c>
      <x:c r="C41" s="269" t="n">
        <x:f>IF(C27=0,0,C40/C27)</x:f>
        <x:v>-0.16061726168266505</x:v>
      </x:c>
      <x:c r="D41" s="256" t="n">
        <x:f>IF(D27=0,0,D40/D27)</x:f>
        <x:v>0.07277523758655677</x:v>
      </x:c>
      <x:c r="E41" s="256" t="n">
        <x:f>IF(E27=0,0,E40/E27)</x:f>
        <x:v>0.21138172787159185</x:v>
      </x:c>
      <x:c r="F41" s="256" t="n">
        <x:f>IF(F27=0,0,F40/F27)</x:f>
        <x:v>0.2882370788598032</x:v>
      </x:c>
      <x:c r="G41" s="256" t="n">
        <x:f>IF(G27=0,0,G40/G27)</x:f>
        <x:v>0.30561531856201757</x:v>
      </x:c>
      <x:c r="H41" s="256" t="n">
        <x:f>IF(H27=0,0,H40/H27)</x:f>
        <x:v>0.31983510608116417</x:v>
      </x:c>
      <x:c r="I41" s="245"/>
      <x:c r="J41" s="245"/>
      <x:c r="K41" s="245"/>
      <x:c r="L41" s="245"/>
      <x:c r="M41" s="245"/>
      <x:c r="N41" s="245"/>
      <x:c r="O41" s="245"/>
      <x:c r="P41" s="245"/>
      <x:c r="Q41" s="245"/>
    </x:row>
    <x:row r="42" ht="24" customHeight="1">
      <x:c r="A42" s="240" t="str">
        <x:v>营业收入同比</x:v>
      </x:c>
      <x:c r="B42" s="271" t="n">
        <x:f>B27/'研发与资产'!D43-1</x:f>
        <x:v>0.4193093448262635</x:v>
      </x:c>
      <x:c r="C42" s="271" t="n">
        <x:f>C27/'研发与资产'!D45-1</x:f>
        <x:v>0.06568547922424406</x:v>
      </x:c>
      <x:c r="D42" s="256" t="n">
        <x:f>IF(B27=0,0,D27/B27-1)</x:f>
        <x:v>0.28538897987539014</x:v>
      </x:c>
      <x:c r="E42" s="256" t="n">
        <x:f>IF(D27=0,0,E27/D27-1)</x:f>
        <x:v>2.535353951845315</x:v>
      </x:c>
      <x:c r="F42" s="256" t="n">
        <x:f>IF(E27=0,0,F27/E27-1)</x:f>
        <x:v>1.6929271050894767</x:v>
      </x:c>
      <x:c r="G42" s="256" t="n">
        <x:f>IF(F27=0,0,G27/F27-1)</x:f>
        <x:v>0.717565572648643</x:v>
      </x:c>
      <x:c r="H42" s="256" t="n">
        <x:f>IF(G27=0,0,H27/G27-1)</x:f>
        <x:v>0.3846406683450341</x:v>
      </x:c>
      <x:c r="I42" s="245"/>
      <x:c r="J42" s="245"/>
      <x:c r="K42" s="245"/>
      <x:c r="L42" s="245"/>
      <x:c r="M42" s="245"/>
      <x:c r="N42" s="245"/>
      <x:c r="O42" s="245"/>
      <x:c r="P42" s="245"/>
      <x:c r="Q42" s="245"/>
    </x:row>
    <x:row r="43" ht="24" customHeight="1">
      <x:c r="A43" s="240" t="str">
        <x:v>研发费用率</x:v>
      </x:c>
      <x:c r="B43" s="269" t="n">
        <x:f>IF(B27=0,0,B33/B27)</x:f>
        <x:v>0.19457525594189168</x:v>
      </x:c>
      <x:c r="C43" s="269" t="n">
        <x:f>IF(C27=0,0,C33/C27)</x:f>
        <x:v>0.2128263118168524</x:v>
      </x:c>
      <x:c r="D43" s="256" t="n">
        <x:f>IF(D27=0,0,D33/D27)</x:f>
        <x:v>0.16</x:v>
      </x:c>
      <x:c r="E43" s="256" t="n">
        <x:f>IF(E27=0,0,E33/E27)</x:f>
        <x:v>0.135</x:v>
      </x:c>
      <x:c r="F43" s="256" t="n">
        <x:f>IF(F27=0,0,F33/F27)</x:f>
        <x:v>0.1</x:v>
      </x:c>
      <x:c r="G43" s="256" t="n">
        <x:f>IF(G27=0,0,G33/G27)</x:f>
        <x:v>0.095</x:v>
      </x:c>
      <x:c r="H43" s="256" t="n">
        <x:f>IF(H27=0,0,H33/H27)</x:f>
        <x:v>0.09</x:v>
      </x:c>
      <x:c r="I43" s="245"/>
      <x:c r="J43" s="245"/>
      <x:c r="K43" s="245"/>
      <x:c r="L43" s="245"/>
      <x:c r="M43" s="245"/>
      <x:c r="N43" s="245"/>
      <x:c r="O43" s="245"/>
      <x:c r="P43" s="245"/>
      <x:c r="Q43" s="245"/>
    </x:row>
    <x:row r="44" ht="24" customHeight="1">
      <x:c r="A44" s="240" t="str">
        <x:v>光通信收入</x:v>
      </x:c>
      <x:c r="B44" s="268" t="n">
        <x:f>B110</x:f>
        <x:v>0.660254</x:v>
      </x:c>
      <x:c r="C44" s="268" t="n">
        <x:f>C110</x:f>
        <x:v>0.668807</x:v>
      </x:c>
      <x:c r="D44" s="270" t="n">
        <x:f>'合并预测'!B7</x:f>
        <x:v>3.8854143999999997</x:v>
      </x:c>
      <x:c r="E44" s="270" t="n">
        <x:f>'合并预测'!C7</x:f>
        <x:v>30.677453600000003</x:v>
      </x:c>
      <x:c r="F44" s="270" t="n">
        <x:f>'合并预测'!D7</x:f>
        <x:v>95.44089068800001</x:v>
      </x:c>
      <x:c r="G44" s="270" t="n">
        <x:f>'合并预测'!E7</x:f>
        <x:v>170.81879448448004</x:v>
      </x:c>
      <x:c r="H44" s="270" t="n">
        <x:f>'合并预测'!F7</x:f>
        <x:v>240.20187159475202</x:v>
      </x:c>
      <x:c r="I44" s="245"/>
      <x:c r="J44" s="245"/>
      <x:c r="K44" s="245"/>
      <x:c r="L44" s="245"/>
      <x:c r="M44" s="245"/>
      <x:c r="N44" s="245"/>
      <x:c r="O44" s="245"/>
      <x:c r="P44" s="245"/>
      <x:c r="Q44" s="245"/>
    </x:row>
    <x:row r="45" ht="24" customHeight="1">
      <x:c r="A45" s="240" t="str">
        <x:v>光通信收入占比</x:v>
      </x:c>
      <x:c r="B45" s="269" t="n">
        <x:f>IF(B27=0,0,B44/B27)</x:f>
        <x:v>0.07502892083227415</x:v>
      </x:c>
      <x:c r="C45" s="269" t="n">
        <x:f>IF(C27=0,0,C44/C27)</x:f>
        <x:v>0.1597856579025889</x:v>
      </x:c>
      <x:c r="D45" s="256" t="n">
        <x:f>IF(D27=0,0,D44/D27)</x:f>
        <x:v>0.34349500978409914</x:v>
      </x:c>
      <x:c r="E45" s="256" t="n">
        <x:f>IF(E27=0,0,E44/E27)</x:f>
        <x:v>0.7671309304318134</x:v>
      </x:c>
      <x:c r="F45" s="256" t="n">
        <x:f>IF(F27=0,0,F44/F27)</x:f>
        <x:v>0.8862578027683843</x:v>
      </x:c>
      <x:c r="G45" s="256" t="n">
        <x:f>IF(G27=0,0,G44/G27)</x:f>
        <x:v>0.9235234220944692</x:v>
      </x:c>
      <x:c r="H45" s="256" t="n">
        <x:f>IF(H27=0,0,H44/H27)</x:f>
        <x:v>0.9378892663047134</x:v>
      </x:c>
      <x:c r="I45" s="245"/>
      <x:c r="J45" s="245"/>
      <x:c r="K45" s="245"/>
      <x:c r="L45" s="245"/>
      <x:c r="M45" s="245"/>
      <x:c r="N45" s="245"/>
      <x:c r="O45" s="245"/>
      <x:c r="P45" s="245"/>
      <x:c r="Q45" s="245"/>
    </x:row>
    <x:row r="46">
      <x:c r="A46" s="245"/>
      <x:c r="B46" s="245"/>
      <x:c r="C46" s="245"/>
      <x:c r="D46" s="245"/>
      <x:c r="E46" s="245"/>
      <x:c r="F46" s="245"/>
      <x:c r="G46" s="245"/>
      <x:c r="H46" s="245"/>
      <x:c r="I46" s="245"/>
      <x:c r="J46" s="245"/>
      <x:c r="K46" s="245"/>
      <x:c r="L46" s="245"/>
      <x:c r="M46" s="245"/>
      <x:c r="N46" s="245"/>
      <x:c r="O46" s="245"/>
      <x:c r="P46" s="245"/>
      <x:c r="Q46" s="245"/>
    </x:row>
    <x:row r="47" ht="42" customHeight="1">
      <x:c r="A47" s="192" t="str">
        <x:v>费用与减值以正数表示扣减；财务费用为负代表净收益。所得税影响以正数表示税收收益、负数表示费用。其他净收益包含信用减值、其他收益、投资、公允价值、处置及营业外净额。</x:v>
      </x:c>
      <x:c r="B47" s="192"/>
      <x:c r="C47" s="192"/>
      <x:c r="D47" s="192"/>
      <x:c r="E47" s="192"/>
      <x:c r="F47" s="192"/>
      <x:c r="G47" s="192"/>
      <x:c r="H47" s="192"/>
      <x:c r="I47" s="192"/>
      <x:c r="J47" s="192"/>
      <x:c r="K47" s="192"/>
      <x:c r="L47" s="192"/>
      <x:c r="M47" s="192"/>
      <x:c r="N47" s="192"/>
      <x:c r="O47" s="192"/>
      <x:c r="P47" s="245"/>
      <x:c r="Q47" s="245"/>
    </x:row>
    <x:row r="48">
      <x:c r="A48" s="245"/>
      <x:c r="B48" s="245"/>
      <x:c r="C48" s="245"/>
      <x:c r="D48" s="245"/>
      <x:c r="E48" s="245"/>
      <x:c r="F48" s="245"/>
      <x:c r="G48" s="245"/>
      <x:c r="H48" s="245"/>
      <x:c r="I48" s="245"/>
      <x:c r="J48" s="245"/>
      <x:c r="K48" s="245"/>
      <x:c r="L48" s="245"/>
      <x:c r="M48" s="245"/>
      <x:c r="N48" s="245"/>
      <x:c r="O48" s="245"/>
      <x:c r="P48" s="245"/>
      <x:c r="Q48" s="245"/>
    </x:row>
    <x:row r="49">
      <x:c r="A49" s="245"/>
      <x:c r="B49" s="245"/>
      <x:c r="C49" s="245"/>
      <x:c r="D49" s="245"/>
      <x:c r="E49" s="245"/>
      <x:c r="F49" s="245"/>
      <x:c r="G49" s="245"/>
      <x:c r="H49" s="245"/>
      <x:c r="I49" s="245"/>
      <x:c r="J49" s="245"/>
      <x:c r="K49" s="245"/>
      <x:c r="L49" s="245"/>
      <x:c r="M49" s="245"/>
      <x:c r="N49" s="245"/>
      <x:c r="O49" s="245"/>
      <x:c r="P49" s="245"/>
      <x:c r="Q49" s="245"/>
    </x:row>
    <x:row r="50">
      <x:c r="A50" s="245"/>
      <x:c r="B50" s="245"/>
      <x:c r="C50" s="245"/>
      <x:c r="D50" s="245"/>
      <x:c r="E50" s="245"/>
      <x:c r="F50" s="245"/>
      <x:c r="G50" s="245"/>
      <x:c r="H50" s="245"/>
      <x:c r="I50" s="245"/>
      <x:c r="J50" s="245"/>
      <x:c r="K50" s="245"/>
      <x:c r="L50" s="245"/>
      <x:c r="M50" s="245"/>
      <x:c r="N50" s="245"/>
      <x:c r="O50" s="245"/>
      <x:c r="P50" s="245"/>
      <x:c r="Q50" s="245"/>
    </x:row>
    <x:row r="51">
      <x:c r="A51" s="245"/>
      <x:c r="B51" s="245"/>
      <x:c r="C51" s="245"/>
      <x:c r="D51" s="245"/>
      <x:c r="E51" s="245"/>
      <x:c r="F51" s="245"/>
      <x:c r="G51" s="245"/>
      <x:c r="H51" s="245"/>
      <x:c r="I51" s="245"/>
      <x:c r="J51" s="245"/>
      <x:c r="K51" s="245"/>
      <x:c r="L51" s="245"/>
      <x:c r="M51" s="245"/>
      <x:c r="N51" s="245"/>
      <x:c r="O51" s="245"/>
      <x:c r="P51" s="245"/>
      <x:c r="Q51" s="245"/>
    </x:row>
    <x:row r="52">
      <x:c r="A52" s="176" t="str">
        <x:v>分应用市场收入（亿元）</x:v>
      </x:c>
      <x:c r="B52" s="264" t="str">
        <x:v>2025A</x:v>
      </x:c>
      <x:c r="C52" s="264" t="str">
        <x:v>2026H1A</x:v>
      </x:c>
      <x:c r="D52" s="176" t="str">
        <x:v>2026E</x:v>
      </x:c>
      <x:c r="E52" s="176" t="str">
        <x:v>2027E</x:v>
      </x:c>
      <x:c r="F52" s="176" t="str">
        <x:v>2028E</x:v>
      </x:c>
      <x:c r="G52" s="176" t="str">
        <x:v>2029E</x:v>
      </x:c>
      <x:c r="H52" s="176" t="str">
        <x:v>2030E</x:v>
      </x:c>
      <x:c r="I52" s="245"/>
      <x:c r="J52" s="245"/>
      <x:c r="K52" s="245"/>
      <x:c r="L52" s="245"/>
      <x:c r="M52" s="245"/>
      <x:c r="N52" s="245"/>
      <x:c r="O52" s="245"/>
      <x:c r="P52" s="245"/>
      <x:c r="Q52" s="245"/>
    </x:row>
    <x:row r="53" ht="25" customHeight="1">
      <x:c r="A53" s="240" t="str">
        <x:v>泛半导体</x:v>
      </x:c>
      <x:c r="B53" s="268" t="n">
        <x:f>B108</x:f>
        <x:v>2.055481</x:v>
      </x:c>
      <x:c r="C53" s="268" t="n">
        <x:f>C108</x:f>
        <x:v>1.109107</x:v>
      </x:c>
      <x:c r="D53" s="270" t="n">
        <x:f>'合并预测'!B5</x:f>
        <x:v>2.459</x:v>
      </x:c>
      <x:c r="E53" s="270" t="n">
        <x:f>'合并预测'!C5</x:f>
        <x:v>2.902</x:v>
      </x:c>
      <x:c r="F53" s="270" t="n">
        <x:f>'合并预测'!D5</x:f>
        <x:v>3.337</x:v>
      </x:c>
      <x:c r="G53" s="270" t="n">
        <x:f>'合并预测'!E5</x:f>
        <x:v>3.671</x:v>
      </x:c>
      <x:c r="H53" s="270" t="n">
        <x:f>'合并预测'!F5</x:f>
        <x:v>4.038</x:v>
      </x:c>
      <x:c r="I53" s="245"/>
      <x:c r="J53" s="245"/>
      <x:c r="K53" s="245"/>
      <x:c r="L53" s="245"/>
      <x:c r="M53" s="245"/>
      <x:c r="N53" s="245"/>
      <x:c r="O53" s="245"/>
      <x:c r="P53" s="245"/>
      <x:c r="Q53" s="245"/>
    </x:row>
    <x:row r="54" ht="25" customHeight="1">
      <x:c r="A54" s="240" t="str">
        <x:v>工业</x:v>
      </x:c>
      <x:c r="B54" s="268" t="n">
        <x:f>B109</x:f>
        <x:v>2.6454</x:v>
      </x:c>
      <x:c r="C54" s="268" t="n">
        <x:f>C109</x:f>
        <x:v>1.065113</x:v>
      </x:c>
      <x:c r="D54" s="270" t="n">
        <x:f>'合并预测'!B6</x:f>
        <x:v>2.115</x:v>
      </x:c>
      <x:c r="E54" s="270" t="n">
        <x:f>'合并预测'!C6</x:f>
        <x:v>2.221</x:v>
      </x:c>
      <x:c r="F54" s="270" t="n">
        <x:f>'合并预测'!D6</x:f>
        <x:v>2.332</x:v>
      </x:c>
      <x:c r="G54" s="270" t="n">
        <x:f>'合并预测'!E6</x:f>
        <x:v>2.449</x:v>
      </x:c>
      <x:c r="H54" s="270" t="n">
        <x:f>'合并预测'!F6</x:f>
        <x:v>2.571</x:v>
      </x:c>
      <x:c r="I54" s="245"/>
      <x:c r="J54" s="245"/>
      <x:c r="K54" s="245"/>
      <x:c r="L54" s="245"/>
      <x:c r="M54" s="245"/>
      <x:c r="N54" s="245"/>
      <x:c r="O54" s="245"/>
      <x:c r="P54" s="245"/>
      <x:c r="Q54" s="245"/>
    </x:row>
    <x:row r="55" ht="25" customHeight="1">
      <x:c r="A55" s="240" t="str">
        <x:v>光通信</x:v>
      </x:c>
      <x:c r="B55" s="268" t="n">
        <x:f>B110</x:f>
        <x:v>0.660254</x:v>
      </x:c>
      <x:c r="C55" s="268" t="n">
        <x:f>C110</x:f>
        <x:v>0.668807</x:v>
      </x:c>
      <x:c r="D55" s="270" t="n">
        <x:f>'合并预测'!B7</x:f>
        <x:v>3.8854143999999997</x:v>
      </x:c>
      <x:c r="E55" s="270" t="n">
        <x:f>'合并预测'!C7</x:f>
        <x:v>30.677453600000003</x:v>
      </x:c>
      <x:c r="F55" s="270" t="n">
        <x:f>'合并预测'!D7</x:f>
        <x:v>95.44089068800001</x:v>
      </x:c>
      <x:c r="G55" s="270" t="n">
        <x:f>'合并预测'!E7</x:f>
        <x:v>170.81879448448004</x:v>
      </x:c>
      <x:c r="H55" s="270" t="n">
        <x:f>'合并预测'!F7</x:f>
        <x:v>240.20187159475202</x:v>
      </x:c>
      <x:c r="I55" s="245"/>
      <x:c r="J55" s="245"/>
      <x:c r="K55" s="245"/>
      <x:c r="L55" s="245"/>
      <x:c r="M55" s="245"/>
      <x:c r="N55" s="245"/>
      <x:c r="O55" s="245"/>
      <x:c r="P55" s="245"/>
      <x:c r="Q55" s="245"/>
    </x:row>
    <x:row r="56" ht="25" customHeight="1">
      <x:c r="A56" s="240" t="str">
        <x:v>汽车</x:v>
      </x:c>
      <x:c r="B56" s="268" t="n">
        <x:f>B111</x:f>
        <x:v>1.586155</x:v>
      </x:c>
      <x:c r="C56" s="268" t="n">
        <x:f>C111</x:f>
        <x:v>0.558618</x:v>
      </x:c>
      <x:c r="D56" s="270" t="n">
        <x:f>'合并预测'!B8</x:f>
        <x:v>1.009</x:v>
      </x:c>
      <x:c r="E56" s="270" t="n">
        <x:f>'合并预测'!C8</x:f>
        <x:v>0.959</x:v>
      </x:c>
      <x:c r="F56" s="270" t="n">
        <x:f>'合并预测'!D8</x:f>
        <x:v>1.007</x:v>
      </x:c>
      <x:c r="G56" s="270" t="n">
        <x:f>'合并预测'!E8</x:f>
        <x:v>1.057</x:v>
      </x:c>
      <x:c r="H56" s="270" t="n">
        <x:f>'合并预测'!F8</x:f>
        <x:v>1.11</x:v>
      </x:c>
      <x:c r="I56" s="245"/>
      <x:c r="J56" s="245"/>
      <x:c r="K56" s="245"/>
      <x:c r="L56" s="245"/>
      <x:c r="M56" s="245"/>
      <x:c r="N56" s="245"/>
      <x:c r="O56" s="245"/>
      <x:c r="P56" s="245"/>
      <x:c r="Q56" s="245"/>
    </x:row>
    <x:row r="57" ht="25" customHeight="1">
      <x:c r="A57" s="240" t="str">
        <x:v>医疗健康</x:v>
      </x:c>
      <x:c r="B57" s="268" t="n">
        <x:f>B112</x:f>
        <x:v>1.053493</x:v>
      </x:c>
      <x:c r="C57" s="268" t="n">
        <x:f>C112</x:f>
        <x:v>0.444319</x:v>
      </x:c>
      <x:c r="D57" s="270" t="n">
        <x:f>'合并预测'!B9</x:f>
        <x:v>0.894</x:v>
      </x:c>
      <x:c r="E57" s="270" t="n">
        <x:f>'合并预测'!C9</x:f>
        <x:v>0.939</x:v>
      </x:c>
      <x:c r="F57" s="270" t="n">
        <x:f>'合并预测'!D9</x:f>
        <x:v>0.986</x:v>
      </x:c>
      <x:c r="G57" s="270" t="n">
        <x:f>'合并预测'!E9</x:f>
        <x:v>1.035</x:v>
      </x:c>
      <x:c r="H57" s="270" t="n">
        <x:f>'合并预测'!F9</x:f>
        <x:v>1.087</x:v>
      </x:c>
      <x:c r="I57" s="245"/>
      <x:c r="J57" s="245"/>
      <x:c r="K57" s="245"/>
      <x:c r="L57" s="245"/>
      <x:c r="M57" s="245"/>
      <x:c r="N57" s="245"/>
      <x:c r="O57" s="245"/>
      <x:c r="P57" s="245"/>
      <x:c r="Q57" s="245"/>
    </x:row>
    <x:row r="58" ht="25" customHeight="1">
      <x:c r="A58" s="240" t="str">
        <x:v>消费电子</x:v>
      </x:c>
      <x:c r="B58" s="268" t="n">
        <x:f>B113</x:f>
        <x:v>0.679361</x:v>
      </x:c>
      <x:c r="C58" s="268" t="n">
        <x:f>C113</x:f>
        <x:v>0.289063</x:v>
      </x:c>
      <x:c r="D58" s="270" t="n">
        <x:f>'合并预测'!B10</x:f>
        <x:v>0.839</x:v>
      </x:c>
      <x:c r="E58" s="270" t="n">
        <x:f>'合并预测'!C10</x:f>
        <x:v>2.1814</x:v>
      </x:c>
      <x:c r="F58" s="270" t="n">
        <x:f>'合并预测'!D10</x:f>
        <x:v>4.47187</x:v>
      </x:c>
      <x:c r="G58" s="270" t="n">
        <x:f>'合并预测'!E10</x:f>
        <x:v>5.8134310000000005</x:v>
      </x:c>
      <x:c r="H58" s="270" t="n">
        <x:f>'合并预测'!F10</x:f>
        <x:v>6.9761172</x:v>
      </x:c>
      <x:c r="I58" s="245"/>
      <x:c r="J58" s="245"/>
      <x:c r="K58" s="245"/>
      <x:c r="L58" s="245"/>
      <x:c r="M58" s="245"/>
      <x:c r="N58" s="245"/>
      <x:c r="O58" s="245"/>
      <x:c r="P58" s="245"/>
      <x:c r="Q58" s="245"/>
    </x:row>
    <x:row r="59" ht="25" customHeight="1">
      <x:c r="A59" s="240" t="str">
        <x:v>科研及其他</x:v>
      </x:c>
      <x:c r="B59" s="268" t="n">
        <x:f>B114</x:f>
        <x:v>0.1198492916</x:v>
      </x:c>
      <x:c r="C59" s="268" t="n">
        <x:f>C114</x:f>
        <x:v>0.0506240076</x:v>
      </x:c>
      <x:c r="D59" s="270" t="n">
        <x:f>'合并预测'!B11</x:f>
        <x:v>0.11</x:v>
      </x:c>
      <x:c r="E59" s="270" t="n">
        <x:f>'合并预测'!C11</x:f>
        <x:v>0.11</x:v>
      </x:c>
      <x:c r="F59" s="270" t="n">
        <x:f>'合并预测'!D11</x:f>
        <x:v>0.115</x:v>
      </x:c>
      <x:c r="G59" s="270" t="n">
        <x:f>'合并预测'!E11</x:f>
        <x:v>0.12</x:v>
      </x:c>
      <x:c r="H59" s="270" t="n">
        <x:f>'合并预测'!F11</x:f>
        <x:v>0.125</x:v>
      </x:c>
      <x:c r="I59" s="245"/>
      <x:c r="J59" s="245"/>
      <x:c r="K59" s="245"/>
      <x:c r="L59" s="245"/>
      <x:c r="M59" s="245"/>
      <x:c r="N59" s="245"/>
      <x:c r="O59" s="245"/>
      <x:c r="P59" s="245"/>
      <x:c r="Q59" s="245"/>
    </x:row>
    <x:row r="60" ht="25" customHeight="1">
      <x:c r="A60" s="272" t="str">
        <x:v>合计（亿元）</x:v>
      </x:c>
      <x:c r="B60" s="273" t="n">
        <x:f>SUM(B53:B59)</x:f>
        <x:v>8.7999932916</x:v>
      </x:c>
      <x:c r="C60" s="273" t="n">
        <x:f>SUM(C53:C59)</x:f>
        <x:v>4.1856510076</x:v>
      </x:c>
      <x:c r="D60" s="274" t="n">
        <x:f>SUM(D53:D59)</x:f>
        <x:v>11.3114144</x:v>
      </x:c>
      <x:c r="E60" s="274" t="n">
        <x:f>SUM(E53:E59)</x:f>
        <x:v>39.989853600000004</x:v>
      </x:c>
      <x:c r="F60" s="274" t="n">
        <x:f>SUM(F53:F59)</x:f>
        <x:v>107.689760688</x:v>
      </x:c>
      <x:c r="G60" s="274" t="n">
        <x:f>SUM(G53:G59)</x:f>
        <x:v>184.96422548448004</x:v>
      </x:c>
      <x:c r="H60" s="274" t="n">
        <x:f>SUM(H53:H59)</x:f>
        <x:v>256.108988794752</x:v>
      </x:c>
      <x:c r="I60" s="245"/>
      <x:c r="J60" s="245"/>
      <x:c r="K60" s="245"/>
      <x:c r="L60" s="245"/>
      <x:c r="M60" s="245"/>
      <x:c r="N60" s="245"/>
      <x:c r="O60" s="245"/>
      <x:c r="P60" s="245"/>
      <x:c r="Q60" s="245"/>
    </x:row>
    <x:row r="61" ht="25" customHeight="1">
      <x:c r="A61" s="245"/>
      <x:c r="B61" s="275"/>
      <x:c r="C61" s="275"/>
      <x:c r="D61" s="245"/>
      <x:c r="E61" s="245"/>
      <x:c r="F61" s="245"/>
      <x:c r="G61" s="245"/>
      <x:c r="H61" s="245"/>
      <x:c r="I61" s="245"/>
      <x:c r="J61" s="245"/>
      <x:c r="K61" s="245"/>
      <x:c r="L61" s="245"/>
      <x:c r="M61" s="245"/>
      <x:c r="N61" s="245"/>
      <x:c r="O61" s="245"/>
      <x:c r="P61" s="245"/>
      <x:c r="Q61" s="245"/>
    </x:row>
    <x:row r="62" ht="25" customHeight="1">
      <x:c r="A62" s="245"/>
      <x:c r="B62" s="275"/>
      <x:c r="C62" s="275"/>
      <x:c r="D62" s="245"/>
      <x:c r="E62" s="245"/>
      <x:c r="F62" s="245"/>
      <x:c r="G62" s="245"/>
      <x:c r="H62" s="245"/>
      <x:c r="I62" s="245"/>
      <x:c r="J62" s="245"/>
      <x:c r="K62" s="245"/>
      <x:c r="L62" s="245"/>
      <x:c r="M62" s="245"/>
      <x:c r="N62" s="245"/>
      <x:c r="O62" s="245"/>
      <x:c r="P62" s="245"/>
      <x:c r="Q62" s="245"/>
    </x:row>
    <x:row r="63" ht="25" customHeight="1">
      <x:c r="A63" s="176" t="str">
        <x:v>分应用市场毛利率</x:v>
      </x:c>
      <x:c r="B63" s="264" t="str">
        <x:v>2025A</x:v>
      </x:c>
      <x:c r="C63" s="264" t="str">
        <x:v>2026H1A</x:v>
      </x:c>
      <x:c r="D63" s="176" t="str">
        <x:v>2026E</x:v>
      </x:c>
      <x:c r="E63" s="176" t="str">
        <x:v>2027E</x:v>
      </x:c>
      <x:c r="F63" s="176" t="str">
        <x:v>2028E</x:v>
      </x:c>
      <x:c r="G63" s="176" t="str">
        <x:v>2029E</x:v>
      </x:c>
      <x:c r="H63" s="176" t="str">
        <x:v>2030E</x:v>
      </x:c>
      <x:c r="I63" s="245"/>
      <x:c r="J63" s="245"/>
      <x:c r="K63" s="245"/>
      <x:c r="L63" s="245"/>
      <x:c r="M63" s="245"/>
      <x:c r="N63" s="245"/>
      <x:c r="O63" s="245"/>
      <x:c r="P63" s="245"/>
      <x:c r="Q63" s="245"/>
    </x:row>
    <x:row r="64" ht="25" customHeight="1">
      <x:c r="A64" s="240" t="str">
        <x:v>泛半导体</x:v>
      </x:c>
      <x:c r="B64" s="276"/>
      <x:c r="C64" s="276"/>
      <x:c r="D64" s="277" t="n">
        <x:f>'合并预测'!G5</x:f>
        <x:v>0.52</x:v>
      </x:c>
      <x:c r="E64" s="277" t="n">
        <x:f>'合并预测'!H5</x:f>
        <x:v>0.52</x:v>
      </x:c>
      <x:c r="F64" s="277" t="n">
        <x:f>'合并预测'!I5</x:f>
        <x:v>0.52</x:v>
      </x:c>
      <x:c r="G64" s="277" t="n">
        <x:f>'合并预测'!J5</x:f>
        <x:v>0.52</x:v>
      </x:c>
      <x:c r="H64" s="277" t="n">
        <x:f>'合并预测'!K5</x:f>
        <x:v>0.52</x:v>
      </x:c>
      <x:c r="I64" s="245"/>
      <x:c r="J64" s="245"/>
      <x:c r="K64" s="245"/>
      <x:c r="L64" s="245"/>
      <x:c r="M64" s="245"/>
      <x:c r="N64" s="245"/>
      <x:c r="O64" s="245"/>
      <x:c r="P64" s="245"/>
      <x:c r="Q64" s="245"/>
    </x:row>
    <x:row r="65" ht="25" customHeight="1">
      <x:c r="A65" s="240" t="str">
        <x:v>工业</x:v>
      </x:c>
      <x:c r="B65" s="276"/>
      <x:c r="C65" s="276"/>
      <x:c r="D65" s="277" t="n">
        <x:f>'合并预测'!G6</x:f>
        <x:v>0.42</x:v>
      </x:c>
      <x:c r="E65" s="277" t="n">
        <x:f>'合并预测'!H6</x:f>
        <x:v>0.42</x:v>
      </x:c>
      <x:c r="F65" s="277" t="n">
        <x:f>'合并预测'!I6</x:f>
        <x:v>0.42</x:v>
      </x:c>
      <x:c r="G65" s="277" t="n">
        <x:f>'合并预测'!J6</x:f>
        <x:v>0.42</x:v>
      </x:c>
      <x:c r="H65" s="277" t="n">
        <x:f>'合并预测'!K6</x:f>
        <x:v>0.42</x:v>
      </x:c>
      <x:c r="I65" s="245"/>
      <x:c r="J65" s="245"/>
      <x:c r="K65" s="245"/>
      <x:c r="L65" s="245"/>
      <x:c r="M65" s="245"/>
      <x:c r="N65" s="245"/>
      <x:c r="O65" s="245"/>
      <x:c r="P65" s="245"/>
      <x:c r="Q65" s="245"/>
    </x:row>
    <x:row r="66" ht="25" customHeight="1">
      <x:c r="A66" s="240" t="str">
        <x:v>光通信</x:v>
      </x:c>
      <x:c r="B66" s="276"/>
      <x:c r="C66" s="276"/>
      <x:c r="D66" s="277" t="n">
        <x:f>'合并预测'!G7</x:f>
        <x:v>0.6</x:v>
      </x:c>
      <x:c r="E66" s="277" t="n">
        <x:f>'合并预测'!H7</x:f>
        <x:v>0.6</x:v>
      </x:c>
      <x:c r="F66" s="277" t="n">
        <x:f>'合并预测'!I7</x:f>
        <x:v>0.6</x:v>
      </x:c>
      <x:c r="G66" s="277" t="n">
        <x:f>'合并预测'!J7</x:f>
        <x:v>0.6</x:v>
      </x:c>
      <x:c r="H66" s="277" t="n">
        <x:f>'合并预测'!K7</x:f>
        <x:v>0.6</x:v>
      </x:c>
      <x:c r="I66" s="245"/>
      <x:c r="J66" s="245"/>
      <x:c r="K66" s="245"/>
      <x:c r="L66" s="245"/>
      <x:c r="M66" s="245"/>
      <x:c r="N66" s="245"/>
      <x:c r="O66" s="245"/>
      <x:c r="P66" s="245"/>
      <x:c r="Q66" s="245"/>
    </x:row>
    <x:row r="67" ht="25" customHeight="1">
      <x:c r="A67" s="240" t="str">
        <x:v>汽车</x:v>
      </x:c>
      <x:c r="B67" s="276"/>
      <x:c r="C67" s="276"/>
      <x:c r="D67" s="277" t="n">
        <x:f>'合并预测'!G8</x:f>
        <x:v>0.35</x:v>
      </x:c>
      <x:c r="E67" s="277" t="n">
        <x:f>'合并预测'!H8</x:f>
        <x:v>0.35</x:v>
      </x:c>
      <x:c r="F67" s="277" t="n">
        <x:f>'合并预测'!I8</x:f>
        <x:v>0.35</x:v>
      </x:c>
      <x:c r="G67" s="277" t="n">
        <x:f>'合并预测'!J8</x:f>
        <x:v>0.35</x:v>
      </x:c>
      <x:c r="H67" s="277" t="n">
        <x:f>'合并预测'!K8</x:f>
        <x:v>0.35</x:v>
      </x:c>
      <x:c r="I67" s="245"/>
      <x:c r="J67" s="245"/>
      <x:c r="K67" s="245"/>
      <x:c r="L67" s="245"/>
      <x:c r="M67" s="245"/>
      <x:c r="N67" s="245"/>
      <x:c r="O67" s="245"/>
      <x:c r="P67" s="245"/>
      <x:c r="Q67" s="245"/>
    </x:row>
    <x:row r="68" ht="25" customHeight="1">
      <x:c r="A68" s="240" t="str">
        <x:v>医疗健康</x:v>
      </x:c>
      <x:c r="B68" s="276"/>
      <x:c r="C68" s="276"/>
      <x:c r="D68" s="277" t="n">
        <x:f>'合并预测'!G9</x:f>
        <x:v>0.34</x:v>
      </x:c>
      <x:c r="E68" s="277" t="n">
        <x:f>'合并预测'!H9</x:f>
        <x:v>0.34</x:v>
      </x:c>
      <x:c r="F68" s="277" t="n">
        <x:f>'合并预测'!I9</x:f>
        <x:v>0.34</x:v>
      </x:c>
      <x:c r="G68" s="277" t="n">
        <x:f>'合并预测'!J9</x:f>
        <x:v>0.34</x:v>
      </x:c>
      <x:c r="H68" s="277" t="n">
        <x:f>'合并预测'!K9</x:f>
        <x:v>0.34</x:v>
      </x:c>
      <x:c r="I68" s="245"/>
      <x:c r="J68" s="245"/>
      <x:c r="K68" s="245"/>
      <x:c r="L68" s="245"/>
      <x:c r="M68" s="245"/>
      <x:c r="N68" s="245"/>
      <x:c r="O68" s="245"/>
      <x:c r="P68" s="245"/>
      <x:c r="Q68" s="245"/>
    </x:row>
    <x:row r="69" ht="25" customHeight="1">
      <x:c r="A69" s="240" t="str">
        <x:v>消费电子</x:v>
      </x:c>
      <x:c r="B69" s="276"/>
      <x:c r="C69" s="276"/>
      <x:c r="D69" s="277" t="n">
        <x:f>'合并预测'!G10</x:f>
        <x:v>0.35</x:v>
      </x:c>
      <x:c r="E69" s="277" t="n">
        <x:f>'合并预测'!H10</x:f>
        <x:v>0.35</x:v>
      </x:c>
      <x:c r="F69" s="277" t="n">
        <x:f>'合并预测'!I10</x:f>
        <x:v>0.35</x:v>
      </x:c>
      <x:c r="G69" s="277" t="n">
        <x:f>'合并预测'!J10</x:f>
        <x:v>0.35</x:v>
      </x:c>
      <x:c r="H69" s="277" t="n">
        <x:f>'合并预测'!K10</x:f>
        <x:v>0.35</x:v>
      </x:c>
      <x:c r="I69" s="245"/>
      <x:c r="J69" s="245"/>
      <x:c r="K69" s="245"/>
      <x:c r="L69" s="245"/>
      <x:c r="M69" s="245"/>
      <x:c r="N69" s="245"/>
      <x:c r="O69" s="245"/>
      <x:c r="P69" s="245"/>
      <x:c r="Q69" s="245"/>
    </x:row>
    <x:row r="70" ht="25" customHeight="1">
      <x:c r="A70" s="240" t="str">
        <x:v>科研及其他</x:v>
      </x:c>
      <x:c r="B70" s="276"/>
      <x:c r="C70" s="276"/>
      <x:c r="D70" s="277" t="n">
        <x:f>'合并预测'!G11</x:f>
        <x:v>0.5</x:v>
      </x:c>
      <x:c r="E70" s="277" t="n">
        <x:f>'合并预测'!H11</x:f>
        <x:v>0.5</x:v>
      </x:c>
      <x:c r="F70" s="277" t="n">
        <x:f>'合并预测'!I11</x:f>
        <x:v>0.5</x:v>
      </x:c>
      <x:c r="G70" s="277" t="n">
        <x:f>'合并预测'!J11</x:f>
        <x:v>0.5</x:v>
      </x:c>
      <x:c r="H70" s="277" t="n">
        <x:f>'合并预测'!K11</x:f>
        <x:v>0.5</x:v>
      </x:c>
      <x:c r="I70" s="245"/>
      <x:c r="J70" s="245"/>
      <x:c r="K70" s="245"/>
      <x:c r="L70" s="245"/>
      <x:c r="M70" s="245"/>
      <x:c r="N70" s="245"/>
      <x:c r="O70" s="245"/>
      <x:c r="P70" s="245"/>
      <x:c r="Q70" s="245"/>
    </x:row>
    <x:row r="71" ht="25" customHeight="1">
      <x:c r="A71" s="245"/>
      <x:c r="B71" s="275"/>
      <x:c r="C71" s="275"/>
      <x:c r="D71" s="245"/>
      <x:c r="E71" s="245"/>
      <x:c r="F71" s="245"/>
      <x:c r="G71" s="245"/>
      <x:c r="H71" s="245"/>
      <x:c r="I71" s="245"/>
      <x:c r="J71" s="245"/>
      <x:c r="K71" s="245"/>
      <x:c r="L71" s="245"/>
      <x:c r="M71" s="245"/>
      <x:c r="N71" s="245"/>
      <x:c r="O71" s="245"/>
      <x:c r="P71" s="245"/>
      <x:c r="Q71" s="245"/>
    </x:row>
    <x:row r="72" ht="25" customHeight="1">
      <x:c r="A72" s="245"/>
      <x:c r="B72" s="275"/>
      <x:c r="C72" s="275"/>
      <x:c r="D72" s="245"/>
      <x:c r="E72" s="245"/>
      <x:c r="F72" s="245"/>
      <x:c r="G72" s="245"/>
      <x:c r="H72" s="245"/>
      <x:c r="I72" s="245"/>
      <x:c r="J72" s="245"/>
      <x:c r="K72" s="245"/>
      <x:c r="L72" s="245"/>
      <x:c r="M72" s="245"/>
      <x:c r="N72" s="245"/>
      <x:c r="O72" s="245"/>
      <x:c r="P72" s="245"/>
      <x:c r="Q72" s="245"/>
    </x:row>
    <x:row r="73" ht="25" customHeight="1">
      <x:c r="A73" s="245"/>
      <x:c r="B73" s="275"/>
      <x:c r="C73" s="275"/>
      <x:c r="D73" s="245"/>
      <x:c r="E73" s="245"/>
      <x:c r="F73" s="245"/>
      <x:c r="G73" s="245"/>
      <x:c r="H73" s="245"/>
      <x:c r="I73" s="245"/>
      <x:c r="J73" s="245"/>
      <x:c r="K73" s="245"/>
      <x:c r="L73" s="245"/>
      <x:c r="M73" s="245"/>
      <x:c r="N73" s="245"/>
      <x:c r="O73" s="245"/>
      <x:c r="P73" s="245"/>
      <x:c r="Q73" s="245"/>
    </x:row>
    <x:row r="74" ht="25" customHeight="1">
      <x:c r="A74" s="176" t="str">
        <x:v>分应用市场毛利润（亿元）</x:v>
      </x:c>
      <x:c r="B74" s="264" t="str">
        <x:v>2025A</x:v>
      </x:c>
      <x:c r="C74" s="264" t="str">
        <x:v>2026H1A</x:v>
      </x:c>
      <x:c r="D74" s="176" t="str">
        <x:v>2026E</x:v>
      </x:c>
      <x:c r="E74" s="176" t="str">
        <x:v>2027E</x:v>
      </x:c>
      <x:c r="F74" s="176" t="str">
        <x:v>2028E</x:v>
      </x:c>
      <x:c r="G74" s="176" t="str">
        <x:v>2029E</x:v>
      </x:c>
      <x:c r="H74" s="176" t="str">
        <x:v>2030E</x:v>
      </x:c>
      <x:c r="I74" s="245"/>
      <x:c r="J74" s="245"/>
      <x:c r="K74" s="245"/>
      <x:c r="L74" s="245"/>
      <x:c r="M74" s="245"/>
      <x:c r="N74" s="245"/>
      <x:c r="O74" s="245"/>
      <x:c r="P74" s="245"/>
      <x:c r="Q74" s="245"/>
    </x:row>
    <x:row r="75" ht="25" customHeight="1">
      <x:c r="A75" s="240" t="str">
        <x:v>泛半导体</x:v>
      </x:c>
      <x:c r="B75" s="278"/>
      <x:c r="C75" s="278"/>
      <x:c r="D75" s="257" t="n">
        <x:f>D53*D64</x:f>
        <x:v>1.27868</x:v>
      </x:c>
      <x:c r="E75" s="257" t="n">
        <x:f>E53*E64</x:f>
        <x:v>1.5090400000000002</x:v>
      </x:c>
      <x:c r="F75" s="257" t="n">
        <x:f>F53*F64</x:f>
        <x:v>1.7352400000000001</x:v>
      </x:c>
      <x:c r="G75" s="257" t="n">
        <x:f>G53*G64</x:f>
        <x:v>1.90892</x:v>
      </x:c>
      <x:c r="H75" s="257" t="n">
        <x:f>H53*H64</x:f>
        <x:v>2.0997600000000003</x:v>
      </x:c>
      <x:c r="I75" s="245"/>
      <x:c r="J75" s="245"/>
      <x:c r="K75" s="245"/>
      <x:c r="L75" s="245"/>
      <x:c r="M75" s="245"/>
      <x:c r="N75" s="245"/>
      <x:c r="O75" s="245"/>
      <x:c r="P75" s="245"/>
      <x:c r="Q75" s="245"/>
    </x:row>
    <x:row r="76" ht="25" customHeight="1">
      <x:c r="A76" s="240" t="str">
        <x:v>工业</x:v>
      </x:c>
      <x:c r="B76" s="278"/>
      <x:c r="C76" s="278"/>
      <x:c r="D76" s="257" t="n">
        <x:f>D54*D65</x:f>
        <x:v>0.8883000000000001</x:v>
      </x:c>
      <x:c r="E76" s="257" t="n">
        <x:f>E54*E65</x:f>
        <x:v>0.93282</x:v>
      </x:c>
      <x:c r="F76" s="257" t="n">
        <x:f>F54*F65</x:f>
        <x:v>0.9794399999999999</x:v>
      </x:c>
      <x:c r="G76" s="257" t="n">
        <x:f>G54*G65</x:f>
        <x:v>1.0285799999999998</x:v>
      </x:c>
      <x:c r="H76" s="257" t="n">
        <x:f>H54*H65</x:f>
        <x:v>1.07982</x:v>
      </x:c>
      <x:c r="I76" s="245"/>
      <x:c r="J76" s="245"/>
      <x:c r="K76" s="245"/>
      <x:c r="L76" s="245"/>
      <x:c r="M76" s="245"/>
      <x:c r="N76" s="245"/>
      <x:c r="O76" s="245"/>
      <x:c r="P76" s="245"/>
      <x:c r="Q76" s="245"/>
    </x:row>
    <x:row r="77" ht="25" customHeight="1">
      <x:c r="A77" s="240" t="str">
        <x:v>光通信</x:v>
      </x:c>
      <x:c r="B77" s="278"/>
      <x:c r="C77" s="278"/>
      <x:c r="D77" s="257" t="n">
        <x:f>D55*D66</x:f>
        <x:v>2.3312486399999997</x:v>
      </x:c>
      <x:c r="E77" s="257" t="n">
        <x:f>E55*E66</x:f>
        <x:v>18.40647216</x:v>
      </x:c>
      <x:c r="F77" s="257" t="n">
        <x:f>F55*F66</x:f>
        <x:v>57.2645344128</x:v>
      </x:c>
      <x:c r="G77" s="257" t="n">
        <x:f>G55*G66</x:f>
        <x:v>102.49127669068803</x:v>
      </x:c>
      <x:c r="H77" s="257" t="n">
        <x:f>H55*H66</x:f>
        <x:v>144.1211229568512</x:v>
      </x:c>
      <x:c r="I77" s="245"/>
      <x:c r="J77" s="245"/>
      <x:c r="K77" s="245"/>
      <x:c r="L77" s="245"/>
      <x:c r="M77" s="245"/>
      <x:c r="N77" s="245"/>
      <x:c r="O77" s="245"/>
      <x:c r="P77" s="245"/>
      <x:c r="Q77" s="245"/>
    </x:row>
    <x:row r="78" ht="25" customHeight="1">
      <x:c r="A78" s="240" t="str">
        <x:v>汽车</x:v>
      </x:c>
      <x:c r="B78" s="278"/>
      <x:c r="C78" s="278"/>
      <x:c r="D78" s="257" t="n">
        <x:f>D56*D67</x:f>
        <x:v>0.35314999999999996</x:v>
      </x:c>
      <x:c r="E78" s="257" t="n">
        <x:f>E56*E67</x:f>
        <x:v>0.33564999999999995</x:v>
      </x:c>
      <x:c r="F78" s="257" t="n">
        <x:f>F56*F67</x:f>
        <x:v>0.35244999999999993</x:v>
      </x:c>
      <x:c r="G78" s="257" t="n">
        <x:f>G56*G67</x:f>
        <x:v>0.36994999999999995</x:v>
      </x:c>
      <x:c r="H78" s="257" t="n">
        <x:f>H56*H67</x:f>
        <x:v>0.3885</x:v>
      </x:c>
      <x:c r="I78" s="245"/>
      <x:c r="J78" s="245"/>
      <x:c r="K78" s="245"/>
      <x:c r="L78" s="245"/>
      <x:c r="M78" s="245"/>
      <x:c r="N78" s="245"/>
      <x:c r="O78" s="245"/>
      <x:c r="P78" s="245"/>
      <x:c r="Q78" s="245"/>
    </x:row>
    <x:row r="79" ht="25" customHeight="1">
      <x:c r="A79" s="240" t="str">
        <x:v>医疗健康</x:v>
      </x:c>
      <x:c r="B79" s="278"/>
      <x:c r="C79" s="278"/>
      <x:c r="D79" s="257" t="n">
        <x:f>D57*D68</x:f>
        <x:v>0.30396</x:v>
      </x:c>
      <x:c r="E79" s="257" t="n">
        <x:f>E57*E68</x:f>
        <x:v>0.31926</x:v>
      </x:c>
      <x:c r="F79" s="257" t="n">
        <x:f>F57*F68</x:f>
        <x:v>0.33524000000000004</x:v>
      </x:c>
      <x:c r="G79" s="257" t="n">
        <x:f>G57*G68</x:f>
        <x:v>0.3519</x:v>
      </x:c>
      <x:c r="H79" s="257" t="n">
        <x:f>H57*H68</x:f>
        <x:v>0.36958</x:v>
      </x:c>
      <x:c r="I79" s="245"/>
      <x:c r="J79" s="245"/>
      <x:c r="K79" s="245"/>
      <x:c r="L79" s="245"/>
      <x:c r="M79" s="245"/>
      <x:c r="N79" s="245"/>
      <x:c r="O79" s="245"/>
      <x:c r="P79" s="245"/>
      <x:c r="Q79" s="245"/>
    </x:row>
    <x:row r="80" ht="25" customHeight="1">
      <x:c r="A80" s="240" t="str">
        <x:v>消费电子</x:v>
      </x:c>
      <x:c r="B80" s="278"/>
      <x:c r="C80" s="278"/>
      <x:c r="D80" s="257" t="n">
        <x:f>D58*D69</x:f>
        <x:v>0.29364999999999997</x:v>
      </x:c>
      <x:c r="E80" s="257" t="n">
        <x:f>E58*E69</x:f>
        <x:v>0.76349</x:v>
      </x:c>
      <x:c r="F80" s="257" t="n">
        <x:f>F58*F69</x:f>
        <x:v>1.5651545</x:v>
      </x:c>
      <x:c r="G80" s="257" t="n">
        <x:f>G58*G69</x:f>
        <x:v>2.03470085</x:v>
      </x:c>
      <x:c r="H80" s="257" t="n">
        <x:f>H58*H69</x:f>
        <x:v>2.44164102</x:v>
      </x:c>
      <x:c r="I80" s="245"/>
      <x:c r="J80" s="245"/>
      <x:c r="K80" s="245"/>
      <x:c r="L80" s="245"/>
      <x:c r="M80" s="245"/>
      <x:c r="N80" s="245"/>
      <x:c r="O80" s="245"/>
      <x:c r="P80" s="245"/>
      <x:c r="Q80" s="245"/>
    </x:row>
    <x:row r="81" ht="25" customHeight="1">
      <x:c r="A81" s="240" t="str">
        <x:v>科研及其他</x:v>
      </x:c>
      <x:c r="B81" s="278"/>
      <x:c r="C81" s="278"/>
      <x:c r="D81" s="257" t="n">
        <x:f>D59*D70</x:f>
        <x:v>0.055</x:v>
      </x:c>
      <x:c r="E81" s="257" t="n">
        <x:f>E59*E70</x:f>
        <x:v>0.055</x:v>
      </x:c>
      <x:c r="F81" s="257" t="n">
        <x:f>F59*F70</x:f>
        <x:v>0.0575</x:v>
      </x:c>
      <x:c r="G81" s="257" t="n">
        <x:f>G59*G70</x:f>
        <x:v>0.06</x:v>
      </x:c>
      <x:c r="H81" s="257" t="n">
        <x:f>H59*H70</x:f>
        <x:v>0.0625</x:v>
      </x:c>
      <x:c r="I81" s="245"/>
      <x:c r="J81" s="245"/>
      <x:c r="K81" s="245"/>
      <x:c r="L81" s="245"/>
      <x:c r="M81" s="245"/>
      <x:c r="N81" s="245"/>
      <x:c r="O81" s="245"/>
      <x:c r="P81" s="245"/>
      <x:c r="Q81" s="245"/>
    </x:row>
    <x:row r="82" ht="25" customHeight="1">
      <x:c r="A82" s="272" t="str">
        <x:v>毛利润合计（亿元）</x:v>
      </x:c>
      <x:c r="B82" s="273" t="n">
        <x:f>B29</x:f>
        <x:v>3.1488706846999994</x:v>
      </x:c>
      <x:c r="C82" s="273" t="n">
        <x:f>C29</x:f>
        <x:v>1.8139376472</x:v>
      </x:c>
      <x:c r="D82" s="274" t="n">
        <x:f>SUM(D75:D81)</x:f>
        <x:v>5.503988639999999</x:v>
      </x:c>
      <x:c r="E82" s="274" t="n">
        <x:f>SUM(E75:E81)</x:f>
        <x:v>22.32173216</x:v>
      </x:c>
      <x:c r="F82" s="274" t="n">
        <x:f>SUM(F75:F81)</x:f>
        <x:v>62.2895589128</x:v>
      </x:c>
      <x:c r="G82" s="274" t="n">
        <x:f>SUM(G75:G81)</x:f>
        <x:v>108.24532754068804</x:v>
      </x:c>
      <x:c r="H82" s="274" t="n">
        <x:f>SUM(H75:H81)</x:f>
        <x:v>150.56292397685118</x:v>
      </x:c>
      <x:c r="I82" s="245"/>
      <x:c r="J82" s="245"/>
      <x:c r="K82" s="245"/>
      <x:c r="L82" s="245"/>
      <x:c r="M82" s="245"/>
      <x:c r="N82" s="245"/>
      <x:c r="O82" s="245"/>
      <x:c r="P82" s="245"/>
      <x:c r="Q82" s="245"/>
    </x:row>
    <x:row r="83">
      <x:c r="A83" s="245"/>
      <x:c r="B83" s="245"/>
      <x:c r="C83" s="245"/>
      <x:c r="D83" s="245"/>
      <x:c r="E83" s="245"/>
      <x:c r="F83" s="245"/>
      <x:c r="G83" s="245"/>
      <x:c r="H83" s="245"/>
      <x:c r="I83" s="245"/>
      <x:c r="J83" s="245"/>
      <x:c r="K83" s="245"/>
      <x:c r="L83" s="245"/>
      <x:c r="M83" s="245"/>
      <x:c r="N83" s="245"/>
      <x:c r="O83" s="245"/>
      <x:c r="P83" s="245"/>
      <x:c r="Q83" s="245"/>
    </x:row>
    <x:row r="84" ht="36" customHeight="1">
      <x:c r="A84" s="192" t="str">
        <x:v>历史分部毛利率、分部毛利润未单独披露；空白不代表零。历史毛利润合计来自合并利润表，预测毛利润合计由分部收入与毛利率相乘再加总。</x:v>
      </x:c>
      <x:c r="B84" s="192"/>
      <x:c r="C84" s="192"/>
      <x:c r="D84" s="192"/>
      <x:c r="E84" s="192"/>
      <x:c r="F84" s="192"/>
      <x:c r="G84" s="192"/>
      <x:c r="H84" s="192"/>
      <x:c r="I84" s="192"/>
      <x:c r="J84" s="192"/>
      <x:c r="K84" s="192"/>
      <x:c r="L84" s="192"/>
      <x:c r="M84" s="192"/>
      <x:c r="N84" s="192"/>
      <x:c r="O84" s="192"/>
      <x:c r="P84" s="245"/>
      <x:c r="Q84" s="245"/>
    </x:row>
    <x:row r="85">
      <x:c r="A85" s="245"/>
      <x:c r="B85" s="245"/>
      <x:c r="C85" s="245"/>
      <x:c r="D85" s="245"/>
      <x:c r="E85" s="245"/>
      <x:c r="F85" s="245"/>
      <x:c r="G85" s="245"/>
      <x:c r="H85" s="245"/>
      <x:c r="I85" s="245"/>
      <x:c r="J85" s="245"/>
      <x:c r="K85" s="245"/>
      <x:c r="L85" s="245"/>
      <x:c r="M85" s="245"/>
      <x:c r="N85" s="245"/>
      <x:c r="O85" s="245"/>
      <x:c r="P85" s="245"/>
      <x:c r="Q85" s="245"/>
    </x:row>
    <x:row r="86">
      <x:c r="A86" s="245"/>
      <x:c r="B86" s="245"/>
      <x:c r="C86" s="245"/>
      <x:c r="D86" s="245"/>
      <x:c r="E86" s="245"/>
      <x:c r="F86" s="245"/>
      <x:c r="G86" s="245"/>
      <x:c r="H86" s="245"/>
      <x:c r="I86" s="245"/>
      <x:c r="J86" s="245"/>
      <x:c r="K86" s="245"/>
      <x:c r="L86" s="245"/>
      <x:c r="M86" s="245"/>
      <x:c r="N86" s="245"/>
      <x:c r="O86" s="245"/>
      <x:c r="P86" s="245"/>
      <x:c r="Q86" s="245"/>
    </x:row>
    <x:row r="87">
      <x:c r="A87" s="245"/>
      <x:c r="B87" s="245"/>
      <x:c r="C87" s="245"/>
      <x:c r="D87" s="245"/>
      <x:c r="E87" s="245"/>
      <x:c r="F87" s="245"/>
      <x:c r="G87" s="245"/>
      <x:c r="H87" s="245"/>
      <x:c r="I87" s="245"/>
      <x:c r="J87" s="245"/>
      <x:c r="K87" s="245"/>
      <x:c r="L87" s="245"/>
      <x:c r="M87" s="245"/>
      <x:c r="N87" s="245"/>
      <x:c r="O87" s="245"/>
      <x:c r="P87" s="245"/>
      <x:c r="Q87" s="245"/>
    </x:row>
    <x:row r="88" ht="28" customHeight="1">
      <x:c r="A88" s="176" t="str">
        <x:v>历史利润表原值｜财报披露与可核验组合项</x:v>
      </x:c>
      <x:c r="B88" s="176"/>
      <x:c r="C88" s="176"/>
      <x:c r="D88" s="176"/>
      <x:c r="E88" s="176"/>
      <x:c r="F88" s="176"/>
      <x:c r="G88" s="176"/>
      <x:c r="H88" s="176"/>
      <x:c r="I88" s="176"/>
      <x:c r="J88" s="176"/>
      <x:c r="K88" s="176"/>
      <x:c r="L88" s="176"/>
      <x:c r="M88" s="176"/>
      <x:c r="N88" s="176"/>
      <x:c r="O88" s="176"/>
      <x:c r="P88" s="245"/>
      <x:c r="Q88" s="245"/>
    </x:row>
    <x:row r="89">
      <x:c r="A89" s="245"/>
      <x:c r="B89" s="245"/>
      <x:c r="C89" s="245"/>
      <x:c r="D89" s="245"/>
      <x:c r="E89" s="245"/>
      <x:c r="F89" s="245"/>
      <x:c r="G89" s="245"/>
      <x:c r="H89" s="245"/>
      <x:c r="I89" s="245"/>
      <x:c r="J89" s="245"/>
      <x:c r="K89" s="245"/>
      <x:c r="L89" s="245"/>
      <x:c r="M89" s="245"/>
      <x:c r="N89" s="245"/>
      <x:c r="O89" s="245"/>
      <x:c r="P89" s="245"/>
      <x:c r="Q89" s="245"/>
    </x:row>
    <x:row r="90">
      <x:c r="A90" s="176" t="str">
        <x:v>项目（亿元）</x:v>
      </x:c>
      <x:c r="B90" s="176" t="str">
        <x:v>2025A</x:v>
      </x:c>
      <x:c r="C90" s="176" t="str">
        <x:v>2026H1A</x:v>
      </x:c>
      <x:c r="D90" s="176" t="str">
        <x:v>2025A来源</x:v>
      </x:c>
      <x:c r="E90" s="176" t="str">
        <x:v>2026H1来源</x:v>
      </x:c>
      <x:c r="F90" s="245"/>
      <x:c r="G90" s="245"/>
      <x:c r="H90" s="245"/>
      <x:c r="I90" s="245"/>
      <x:c r="J90" s="245"/>
      <x:c r="K90" s="245"/>
      <x:c r="L90" s="245"/>
      <x:c r="M90" s="245"/>
      <x:c r="N90" s="245"/>
      <x:c r="O90" s="245"/>
      <x:c r="P90" s="245"/>
      <x:c r="Q90" s="245"/>
    </x:row>
    <x:row r="91">
      <x:c r="A91" s="240" t="str">
        <x:v>营业收入</x:v>
      </x:c>
      <x:c r="B91" s="255" t="n">
        <x:v>8.7999932916</x:v>
      </x:c>
      <x:c r="C91" s="255" t="n">
        <x:v>4.1856510076</x:v>
      </x:c>
      <x:c r="D91" s="240" t="str">
        <x:v>jg2025</x:v>
      </x:c>
      <x:c r="E91" s="240" t="str">
        <x:v>jg2026h1</x:v>
      </x:c>
      <x:c r="F91" s="245"/>
      <x:c r="G91" s="245"/>
      <x:c r="H91" s="245"/>
      <x:c r="I91" s="245"/>
      <x:c r="J91" s="245"/>
      <x:c r="K91" s="245"/>
      <x:c r="L91" s="245"/>
      <x:c r="M91" s="245"/>
      <x:c r="N91" s="245"/>
      <x:c r="O91" s="245"/>
      <x:c r="P91" s="245"/>
      <x:c r="Q91" s="245"/>
    </x:row>
    <x:row r="92">
      <x:c r="A92" s="240" t="str">
        <x:v>营业成本</x:v>
      </x:c>
      <x:c r="B92" s="255" t="n">
        <x:v>5.6511226069000005</x:v>
      </x:c>
      <x:c r="C92" s="255" t="n">
        <x:v>2.3717133604</x:v>
      </x:c>
      <x:c r="D92" s="240" t="str">
        <x:v>jg2025</x:v>
      </x:c>
      <x:c r="E92" s="240" t="str">
        <x:v>jg2026h1</x:v>
      </x:c>
      <x:c r="F92" s="245"/>
      <x:c r="G92" s="245"/>
      <x:c r="H92" s="245"/>
      <x:c r="I92" s="245"/>
      <x:c r="J92" s="245"/>
      <x:c r="K92" s="245"/>
      <x:c r="L92" s="245"/>
      <x:c r="M92" s="245"/>
      <x:c r="N92" s="245"/>
      <x:c r="O92" s="245"/>
      <x:c r="P92" s="245"/>
      <x:c r="Q92" s="245"/>
    </x:row>
    <x:row r="93">
      <x:c r="A93" s="240" t="str">
        <x:v>销售费用</x:v>
      </x:c>
      <x:c r="B93" s="255" t="n">
        <x:v>0.48776821369999995</x:v>
      </x:c>
      <x:c r="C93" s="255" t="n">
        <x:v>0.2340340627</x:v>
      </x:c>
      <x:c r="D93" s="240" t="str">
        <x:v>jg2025</x:v>
      </x:c>
      <x:c r="E93" s="240" t="str">
        <x:v>jg2026h1</x:v>
      </x:c>
      <x:c r="F93" s="245"/>
      <x:c r="G93" s="245"/>
      <x:c r="H93" s="245"/>
      <x:c r="I93" s="245"/>
      <x:c r="J93" s="245"/>
      <x:c r="K93" s="245"/>
      <x:c r="L93" s="245"/>
      <x:c r="M93" s="245"/>
      <x:c r="N93" s="245"/>
      <x:c r="O93" s="245"/>
      <x:c r="P93" s="245"/>
      <x:c r="Q93" s="245"/>
    </x:row>
    <x:row r="94">
      <x:c r="A94" s="240" t="str">
        <x:v>管理费用</x:v>
      </x:c>
      <x:c r="B94" s="255" t="n">
        <x:v>1.5368044143000001</x:v>
      </x:c>
      <x:c r="C94" s="255" t="n">
        <x:v>0.7384157309999999</x:v>
      </x:c>
      <x:c r="D94" s="240" t="str">
        <x:v>jg2025</x:v>
      </x:c>
      <x:c r="E94" s="240" t="str">
        <x:v>jg2026h1</x:v>
      </x:c>
      <x:c r="F94" s="245"/>
      <x:c r="G94" s="245"/>
      <x:c r="H94" s="245"/>
      <x:c r="I94" s="245"/>
      <x:c r="J94" s="245"/>
      <x:c r="K94" s="245"/>
      <x:c r="L94" s="245"/>
      <x:c r="M94" s="245"/>
      <x:c r="N94" s="245"/>
      <x:c r="O94" s="245"/>
      <x:c r="P94" s="245"/>
      <x:c r="Q94" s="245"/>
    </x:row>
    <x:row r="95">
      <x:c r="A95" s="240" t="str">
        <x:v>研发费用</x:v>
      </x:c>
      <x:c r="B95" s="255" t="n">
        <x:v>1.7122609469999999</x:v>
      </x:c>
      <x:c r="C95" s="255" t="n">
        <x:v>0.8908166665</x:v>
      </x:c>
      <x:c r="D95" s="240" t="str">
        <x:v>jg2025</x:v>
      </x:c>
      <x:c r="E95" s="240" t="str">
        <x:v>jg2026h1</x:v>
      </x:c>
      <x:c r="F95" s="245"/>
      <x:c r="G95" s="245"/>
      <x:c r="H95" s="245"/>
      <x:c r="I95" s="245"/>
      <x:c r="J95" s="245"/>
      <x:c r="K95" s="245"/>
      <x:c r="L95" s="245"/>
      <x:c r="M95" s="245"/>
      <x:c r="N95" s="245"/>
      <x:c r="O95" s="245"/>
      <x:c r="P95" s="245"/>
      <x:c r="Q95" s="245"/>
    </x:row>
    <x:row r="96">
      <x:c r="A96" s="240" t="str">
        <x:v>财务费用</x:v>
      </x:c>
      <x:c r="B96" s="255" t="n">
        <x:v>-0.09033487130000001</x:v>
      </x:c>
      <x:c r="C96" s="255" t="n">
        <x:v>0.0845636987</x:v>
      </x:c>
      <x:c r="D96" s="240" t="str">
        <x:v>jg2025</x:v>
      </x:c>
      <x:c r="E96" s="240" t="str">
        <x:v>jg2026h1</x:v>
      </x:c>
      <x:c r="F96" s="245"/>
      <x:c r="G96" s="245"/>
      <x:c r="H96" s="245"/>
      <x:c r="I96" s="245"/>
      <x:c r="J96" s="245"/>
      <x:c r="K96" s="245"/>
      <x:c r="L96" s="245"/>
      <x:c r="M96" s="245"/>
      <x:c r="N96" s="245"/>
      <x:c r="O96" s="245"/>
      <x:c r="P96" s="245"/>
      <x:c r="Q96" s="245"/>
    </x:row>
    <x:row r="97">
      <x:c r="A97" s="240" t="str">
        <x:v>税金及附加</x:v>
      </x:c>
      <x:c r="B97" s="255" t="n">
        <x:v>0.04220683980000001</x:v>
      </x:c>
      <x:c r="C97" s="255" t="n">
        <x:v>0.0188023024</x:v>
      </x:c>
      <x:c r="D97" s="240" t="str">
        <x:v>jg2025</x:v>
      </x:c>
      <x:c r="E97" s="240" t="str">
        <x:v>jg2026h1</x:v>
      </x:c>
      <x:c r="F97" s="245"/>
      <x:c r="G97" s="245"/>
      <x:c r="H97" s="245"/>
      <x:c r="I97" s="245"/>
      <x:c r="J97" s="245"/>
      <x:c r="K97" s="245"/>
      <x:c r="L97" s="245"/>
      <x:c r="M97" s="245"/>
      <x:c r="N97" s="245"/>
      <x:c r="O97" s="245"/>
      <x:c r="P97" s="245"/>
      <x:c r="Q97" s="245"/>
    </x:row>
    <x:row r="98">
      <x:c r="A98" s="240" t="str">
        <x:v>资产减值损失（扣减）</x:v>
      </x:c>
      <x:c r="B98" s="255" t="n">
        <x:v>0.42991409659999996</x:v>
      </x:c>
      <x:c r="C98" s="255" t="n">
        <x:v>0.6638112682</x:v>
      </x:c>
      <x:c r="D98" s="240" t="str">
        <x:v>jg2025</x:v>
      </x:c>
      <x:c r="E98" s="240" t="str">
        <x:v>jg2026h1</x:v>
      </x:c>
      <x:c r="F98" s="245"/>
      <x:c r="G98" s="245"/>
      <x:c r="H98" s="245"/>
      <x:c r="I98" s="245"/>
      <x:c r="J98" s="245"/>
      <x:c r="K98" s="245"/>
      <x:c r="L98" s="245"/>
      <x:c r="M98" s="245"/>
      <x:c r="N98" s="245"/>
      <x:c r="O98" s="245"/>
      <x:c r="P98" s="245"/>
      <x:c r="Q98" s="245"/>
    </x:row>
    <x:row r="99">
      <x:c r="A99" s="240" t="str">
        <x:v>其他净收益（已披露项目合计）</x:v>
      </x:c>
      <x:c r="B99" s="255" t="n">
        <x:v>0.324710862</x:v>
      </x:c>
      <x:c r="C99" s="255" t="n">
        <x:v>0.07742335640000002</x:v>
      </x:c>
      <x:c r="D99" s="240" t="str">
        <x:v>jg2025</x:v>
      </x:c>
      <x:c r="E99" s="240" t="str">
        <x:v>jg2026h1</x:v>
      </x:c>
      <x:c r="F99" s="245"/>
      <x:c r="G99" s="245"/>
      <x:c r="H99" s="245"/>
      <x:c r="I99" s="245"/>
      <x:c r="J99" s="245"/>
      <x:c r="K99" s="245"/>
      <x:c r="L99" s="245"/>
      <x:c r="M99" s="245"/>
      <x:c r="N99" s="245"/>
      <x:c r="O99" s="245"/>
      <x:c r="P99" s="245"/>
      <x:c r="Q99" s="245"/>
    </x:row>
    <x:row r="100">
      <x:c r="A100" s="240" t="str">
        <x:v>利润总额</x:v>
      </x:c>
      <x:c r="B100" s="255" t="n">
        <x:v>-0.6450380934000001</x:v>
      </x:c>
      <x:c r="C100" s="255" t="n">
        <x:v>-0.7390827259</x:v>
      </x:c>
      <x:c r="D100" s="240" t="str">
        <x:v>jg2025</x:v>
      </x:c>
      <x:c r="E100" s="240" t="str">
        <x:v>jg2026h1</x:v>
      </x:c>
      <x:c r="F100" s="245"/>
      <x:c r="G100" s="245"/>
      <x:c r="H100" s="245"/>
      <x:c r="I100" s="245"/>
      <x:c r="J100" s="245"/>
      <x:c r="K100" s="245"/>
      <x:c r="L100" s="245"/>
      <x:c r="M100" s="245"/>
      <x:c r="N100" s="245"/>
      <x:c r="O100" s="245"/>
      <x:c r="P100" s="245"/>
      <x:c r="Q100" s="245"/>
    </x:row>
    <x:row r="101">
      <x:c r="A101" s="240" t="str">
        <x:v>所得税影响（费用取反）</x:v>
      </x:c>
      <x:c r="B101" s="255" t="n">
        <x:v>0.2609423507</x:v>
      </x:c>
      <x:c r="C101" s="255" t="n">
        <x:v>0.0667949227</x:v>
      </x:c>
      <x:c r="D101" s="240" t="str">
        <x:v>jg2025</x:v>
      </x:c>
      <x:c r="E101" s="240" t="str">
        <x:v>jg2026h1</x:v>
      </x:c>
      <x:c r="F101" s="245"/>
      <x:c r="G101" s="245"/>
      <x:c r="H101" s="245"/>
      <x:c r="I101" s="245"/>
      <x:c r="J101" s="245"/>
      <x:c r="K101" s="245"/>
      <x:c r="L101" s="245"/>
      <x:c r="M101" s="245"/>
      <x:c r="N101" s="245"/>
      <x:c r="O101" s="245"/>
      <x:c r="P101" s="245"/>
      <x:c r="Q101" s="245"/>
    </x:row>
    <x:row r="102">
      <x:c r="A102" s="240" t="str">
        <x:v>归母净利润</x:v>
      </x:c>
      <x:c r="B102" s="255" t="n">
        <x:v>-0.3840957427</x:v>
      </x:c>
      <x:c r="C102" s="255" t="n">
        <x:v>-0.6722878031999999</x:v>
      </x:c>
      <x:c r="D102" s="240" t="str">
        <x:v>jg2025</x:v>
      </x:c>
      <x:c r="E102" s="240" t="str">
        <x:v>jg2026h1</x:v>
      </x:c>
      <x:c r="F102" s="245"/>
      <x:c r="G102" s="245"/>
      <x:c r="H102" s="245"/>
      <x:c r="I102" s="245"/>
      <x:c r="J102" s="245"/>
      <x:c r="K102" s="245"/>
      <x:c r="L102" s="245"/>
      <x:c r="M102" s="245"/>
      <x:c r="N102" s="245"/>
      <x:c r="O102" s="245"/>
      <x:c r="P102" s="245"/>
      <x:c r="Q102" s="245"/>
    </x:row>
    <x:row r="103">
      <x:c r="A103" s="245"/>
      <x:c r="B103" s="245"/>
      <x:c r="C103" s="245"/>
      <x:c r="D103" s="245"/>
      <x:c r="E103" s="245"/>
      <x:c r="F103" s="245"/>
      <x:c r="G103" s="245"/>
      <x:c r="H103" s="245"/>
      <x:c r="I103" s="245"/>
      <x:c r="J103" s="245"/>
      <x:c r="K103" s="245"/>
      <x:c r="L103" s="245"/>
      <x:c r="M103" s="245"/>
      <x:c r="N103" s="245"/>
      <x:c r="O103" s="245"/>
      <x:c r="P103" s="245"/>
      <x:c r="Q103" s="245"/>
    </x:row>
    <x:row r="104" ht="36" customHeight="1">
      <x:c r="A104" s="192" t="str">
        <x:v>来源ID完整公告链接及页码见「研发与资产」。其他净收益为财报列示项目相加，不是利润表平衡项；所得税影响为报表所得税费用取反。</x:v>
      </x:c>
      <x:c r="B104" s="192"/>
      <x:c r="C104" s="192"/>
      <x:c r="D104" s="192"/>
      <x:c r="E104" s="192"/>
      <x:c r="F104" s="192"/>
      <x:c r="G104" s="192"/>
      <x:c r="H104" s="192"/>
      <x:c r="I104" s="192"/>
      <x:c r="J104" s="192"/>
      <x:c r="K104" s="192"/>
      <x:c r="L104" s="192"/>
      <x:c r="M104" s="192"/>
      <x:c r="N104" s="192"/>
      <x:c r="O104" s="192"/>
      <x:c r="P104" s="245"/>
      <x:c r="Q104" s="245"/>
    </x:row>
    <x:row r="105">
      <x:c r="A105" s="245"/>
      <x:c r="B105" s="245"/>
      <x:c r="C105" s="245"/>
      <x:c r="D105" s="245"/>
      <x:c r="E105" s="245"/>
      <x:c r="F105" s="245"/>
      <x:c r="G105" s="245"/>
      <x:c r="H105" s="245"/>
      <x:c r="I105" s="245"/>
      <x:c r="J105" s="245"/>
      <x:c r="K105" s="245"/>
      <x:c r="L105" s="245"/>
      <x:c r="M105" s="245"/>
      <x:c r="N105" s="245"/>
      <x:c r="O105" s="245"/>
      <x:c r="P105" s="245"/>
      <x:c r="Q105" s="245"/>
    </x:row>
    <x:row r="106" ht="28" customHeight="1">
      <x:c r="A106" s="176" t="str">
        <x:v>历史应用市场收入原值</x:v>
      </x:c>
      <x:c r="B106" s="176"/>
      <x:c r="C106" s="176"/>
      <x:c r="D106" s="176"/>
      <x:c r="E106" s="176"/>
      <x:c r="F106" s="176"/>
      <x:c r="G106" s="176"/>
      <x:c r="H106" s="176"/>
      <x:c r="I106" s="176"/>
      <x:c r="J106" s="176"/>
      <x:c r="K106" s="176"/>
      <x:c r="L106" s="176"/>
      <x:c r="M106" s="176"/>
      <x:c r="N106" s="176"/>
      <x:c r="O106" s="176"/>
      <x:c r="P106" s="245"/>
      <x:c r="Q106" s="245"/>
    </x:row>
    <x:row r="107">
      <x:c r="A107" s="176" t="str">
        <x:v>应用市场</x:v>
      </x:c>
      <x:c r="B107" s="176" t="str">
        <x:v>2025A</x:v>
      </x:c>
      <x:c r="C107" s="176" t="str">
        <x:v>2026H1A</x:v>
      </x:c>
      <x:c r="D107" s="176" t="str">
        <x:v>来源与口径</x:v>
      </x:c>
      <x:c r="E107" s="245"/>
      <x:c r="F107" s="245"/>
      <x:c r="G107" s="245"/>
      <x:c r="H107" s="245"/>
      <x:c r="I107" s="245"/>
      <x:c r="J107" s="245"/>
      <x:c r="K107" s="245"/>
      <x:c r="L107" s="245"/>
      <x:c r="M107" s="245"/>
      <x:c r="N107" s="245"/>
      <x:c r="O107" s="245"/>
      <x:c r="P107" s="245"/>
      <x:c r="Q107" s="245"/>
    </x:row>
    <x:row r="108">
      <x:c r="A108" s="240" t="str">
        <x:v>泛半导体</x:v>
      </x:c>
      <x:c r="B108" s="255" t="n">
        <x:v>2.055481</x:v>
      </x:c>
      <x:c r="C108" s="255" t="n">
        <x:v>1.109107</x:v>
      </x:c>
      <x:c r="D108" s="240" t="str">
        <x:v>jg2025 / jg2026h1；应用市场分类</x:v>
      </x:c>
      <x:c r="E108" s="245"/>
      <x:c r="F108" s="245"/>
      <x:c r="G108" s="245"/>
      <x:c r="H108" s="245"/>
      <x:c r="I108" s="245"/>
      <x:c r="J108" s="245"/>
      <x:c r="K108" s="245"/>
      <x:c r="L108" s="245"/>
      <x:c r="M108" s="245"/>
      <x:c r="N108" s="245"/>
      <x:c r="O108" s="245"/>
      <x:c r="P108" s="245"/>
      <x:c r="Q108" s="245"/>
    </x:row>
    <x:row r="109">
      <x:c r="A109" s="240" t="str">
        <x:v>工业</x:v>
      </x:c>
      <x:c r="B109" s="255" t="n">
        <x:v>2.6454</x:v>
      </x:c>
      <x:c r="C109" s="255" t="n">
        <x:v>1.065113</x:v>
      </x:c>
      <x:c r="D109" s="240" t="str">
        <x:v>jg2025 / jg2026h1；应用市场分类</x:v>
      </x:c>
      <x:c r="E109" s="245"/>
      <x:c r="F109" s="245"/>
      <x:c r="G109" s="245"/>
      <x:c r="H109" s="245"/>
      <x:c r="I109" s="245"/>
      <x:c r="J109" s="245"/>
      <x:c r="K109" s="245"/>
      <x:c r="L109" s="245"/>
      <x:c r="M109" s="245"/>
      <x:c r="N109" s="245"/>
      <x:c r="O109" s="245"/>
      <x:c r="P109" s="245"/>
      <x:c r="Q109" s="245"/>
    </x:row>
    <x:row r="110">
      <x:c r="A110" s="240" t="str">
        <x:v>光通信</x:v>
      </x:c>
      <x:c r="B110" s="255" t="n">
        <x:v>0.660254</x:v>
      </x:c>
      <x:c r="C110" s="255" t="n">
        <x:v>0.668807</x:v>
      </x:c>
      <x:c r="D110" s="240" t="str">
        <x:v>jg2025 / jg2026h1；应用市场分类</x:v>
      </x:c>
      <x:c r="E110" s="245"/>
      <x:c r="F110" s="245"/>
      <x:c r="G110" s="245"/>
      <x:c r="H110" s="245"/>
      <x:c r="I110" s="245"/>
      <x:c r="J110" s="245"/>
      <x:c r="K110" s="245"/>
      <x:c r="L110" s="245"/>
      <x:c r="M110" s="245"/>
      <x:c r="N110" s="245"/>
      <x:c r="O110" s="245"/>
      <x:c r="P110" s="245"/>
      <x:c r="Q110" s="245"/>
    </x:row>
    <x:row r="111">
      <x:c r="A111" s="240" t="str">
        <x:v>汽车</x:v>
      </x:c>
      <x:c r="B111" s="255" t="n">
        <x:v>1.586155</x:v>
      </x:c>
      <x:c r="C111" s="255" t="n">
        <x:v>0.558618</x:v>
      </x:c>
      <x:c r="D111" s="240" t="str">
        <x:v>jg2025 / jg2026h1；应用市场分类</x:v>
      </x:c>
      <x:c r="E111" s="245"/>
      <x:c r="F111" s="245"/>
      <x:c r="G111" s="245"/>
      <x:c r="H111" s="245"/>
      <x:c r="I111" s="245"/>
      <x:c r="J111" s="245"/>
      <x:c r="K111" s="245"/>
      <x:c r="L111" s="245"/>
      <x:c r="M111" s="245"/>
      <x:c r="N111" s="245"/>
      <x:c r="O111" s="245"/>
      <x:c r="P111" s="245"/>
      <x:c r="Q111" s="245"/>
    </x:row>
    <x:row r="112">
      <x:c r="A112" s="240" t="str">
        <x:v>医疗健康</x:v>
      </x:c>
      <x:c r="B112" s="255" t="n">
        <x:v>1.053493</x:v>
      </x:c>
      <x:c r="C112" s="255" t="n">
        <x:v>0.444319</x:v>
      </x:c>
      <x:c r="D112" s="240" t="str">
        <x:v>jg2025 / jg2026h1；应用市场分类</x:v>
      </x:c>
      <x:c r="E112" s="245"/>
      <x:c r="F112" s="245"/>
      <x:c r="G112" s="245"/>
      <x:c r="H112" s="245"/>
      <x:c r="I112" s="245"/>
      <x:c r="J112" s="245"/>
      <x:c r="K112" s="245"/>
      <x:c r="L112" s="245"/>
      <x:c r="M112" s="245"/>
      <x:c r="N112" s="245"/>
      <x:c r="O112" s="245"/>
      <x:c r="P112" s="245"/>
      <x:c r="Q112" s="245"/>
    </x:row>
    <x:row r="113">
      <x:c r="A113" s="240" t="str">
        <x:v>消费电子</x:v>
      </x:c>
      <x:c r="B113" s="255" t="n">
        <x:v>0.679361</x:v>
      </x:c>
      <x:c r="C113" s="255" t="n">
        <x:v>0.289063</x:v>
      </x:c>
      <x:c r="D113" s="240" t="str">
        <x:v>jg2025 / jg2026h1；应用市场分类</x:v>
      </x:c>
      <x:c r="E113" s="245"/>
      <x:c r="F113" s="245"/>
      <x:c r="G113" s="245"/>
      <x:c r="H113" s="245"/>
      <x:c r="I113" s="245"/>
      <x:c r="J113" s="245"/>
      <x:c r="K113" s="245"/>
      <x:c r="L113" s="245"/>
      <x:c r="M113" s="245"/>
      <x:c r="N113" s="245"/>
      <x:c r="O113" s="245"/>
      <x:c r="P113" s="245"/>
      <x:c r="Q113" s="245"/>
    </x:row>
    <x:row r="114">
      <x:c r="A114" s="240" t="str">
        <x:v>科研及其他</x:v>
      </x:c>
      <x:c r="B114" s="255" t="n">
        <x:v>0.1198492916</x:v>
      </x:c>
      <x:c r="C114" s="255" t="n">
        <x:v>0.0506240076</x:v>
      </x:c>
      <x:c r="D114" s="240" t="str">
        <x:v>科研、其他业务及披露舍入差额</x:v>
      </x:c>
      <x:c r="E114" s="245"/>
      <x:c r="F114" s="245"/>
      <x:c r="G114" s="245"/>
      <x:c r="H114" s="245"/>
      <x:c r="I114" s="245"/>
      <x:c r="J114" s="245"/>
      <x:c r="K114" s="245"/>
      <x:c r="L114" s="245"/>
      <x:c r="M114" s="245"/>
      <x:c r="N114" s="245"/>
      <x:c r="O114" s="245"/>
      <x:c r="P114" s="245"/>
      <x:c r="Q114" s="245"/>
    </x:row>
    <x:row r="115">
      <x:c r="A115" s="245"/>
      <x:c r="B115" s="245"/>
      <x:c r="C115" s="245"/>
      <x:c r="D115" s="245"/>
      <x:c r="E115" s="245"/>
      <x:c r="F115" s="245"/>
      <x:c r="G115" s="245"/>
      <x:c r="H115" s="245"/>
      <x:c r="I115" s="245"/>
      <x:c r="J115" s="245"/>
      <x:c r="K115" s="245"/>
      <x:c r="L115" s="245"/>
      <x:c r="M115" s="245"/>
      <x:c r="N115" s="245"/>
      <x:c r="O115" s="245"/>
      <x:c r="P115" s="245"/>
      <x:c r="Q115" s="245"/>
    </x:row>
    <x:row r="116" ht="42" customHeight="1">
      <x:c r="A116" s="192" t="str">
        <x:v>2025A和2026H1为实际披露；六大应用市场收入按原文万元两位换算，科研及其他含科研收入、其他业务及不足百元的舍入差额，以衔接合并营业收入。应用市场毛利率未单独披露。</x:v>
      </x:c>
      <x:c r="B116" s="192"/>
      <x:c r="C116" s="192"/>
      <x:c r="D116" s="192"/>
      <x:c r="E116" s="192"/>
      <x:c r="F116" s="192"/>
      <x:c r="G116" s="192"/>
      <x:c r="H116" s="192"/>
      <x:c r="I116" s="192"/>
      <x:c r="J116" s="192"/>
      <x:c r="K116" s="192"/>
      <x:c r="L116" s="192"/>
      <x:c r="M116" s="192"/>
      <x:c r="N116" s="192"/>
      <x:c r="O116" s="192"/>
      <x:c r="P116" s="245"/>
      <x:c r="Q116" s="245"/>
    </x:row>
    <x:row r="117">
      <x:c r="A117" s="245"/>
      <x:c r="B117" s="245"/>
      <x:c r="C117" s="245"/>
      <x:c r="D117" s="245"/>
      <x:c r="E117" s="245"/>
      <x:c r="F117" s="245"/>
      <x:c r="G117" s="245"/>
      <x:c r="H117" s="245"/>
      <x:c r="I117" s="245"/>
      <x:c r="J117" s="245"/>
      <x:c r="K117" s="245"/>
      <x:c r="L117" s="245"/>
      <x:c r="M117" s="245"/>
      <x:c r="N117" s="245"/>
      <x:c r="O117" s="245"/>
      <x:c r="P117" s="245"/>
      <x:c r="Q117" s="245"/>
    </x:row>
    <x:row r="118">
      <x:c r="A118" s="245"/>
      <x:c r="B118" s="245"/>
      <x:c r="C118" s="245"/>
      <x:c r="D118" s="245"/>
      <x:c r="E118" s="245"/>
      <x:c r="F118" s="245"/>
      <x:c r="G118" s="245"/>
      <x:c r="H118" s="245"/>
      <x:c r="I118" s="245"/>
      <x:c r="J118" s="245"/>
      <x:c r="K118" s="245"/>
      <x:c r="L118" s="245"/>
      <x:c r="M118" s="245"/>
      <x:c r="N118" s="245"/>
      <x:c r="O118" s="245"/>
      <x:c r="P118" s="245"/>
      <x:c r="Q118" s="245"/>
    </x:row>
    <x:row r="119">
      <x:c r="A119" s="245"/>
      <x:c r="B119" s="245"/>
      <x:c r="C119" s="245"/>
      <x:c r="D119" s="245"/>
      <x:c r="E119" s="245"/>
      <x:c r="F119" s="245"/>
      <x:c r="G119" s="245"/>
      <x:c r="H119" s="245"/>
      <x:c r="I119" s="245"/>
      <x:c r="J119" s="245"/>
      <x:c r="K119" s="245"/>
      <x:c r="L119" s="245"/>
      <x:c r="M119" s="245"/>
      <x:c r="N119" s="245"/>
      <x:c r="O119" s="245"/>
      <x:c r="P119" s="245"/>
      <x:c r="Q119" s="245"/>
    </x:row>
    <x:row r="120">
      <x:c r="A120" s="245"/>
      <x:c r="B120" s="245"/>
      <x:c r="C120" s="245"/>
      <x:c r="D120" s="245"/>
      <x:c r="E120" s="245"/>
      <x:c r="F120" s="245"/>
      <x:c r="G120" s="245"/>
      <x:c r="H120" s="245"/>
      <x:c r="I120" s="245"/>
      <x:c r="J120" s="245"/>
      <x:c r="K120" s="245"/>
      <x:c r="L120" s="245"/>
      <x:c r="M120" s="245"/>
      <x:c r="N120" s="245"/>
      <x:c r="O120" s="245"/>
      <x:c r="P120" s="245"/>
      <x:c r="Q120" s="245"/>
    </x:row>
    <x:row r="121">
      <x:c r="A121" s="245"/>
      <x:c r="B121" s="245"/>
      <x:c r="C121" s="245"/>
      <x:c r="D121" s="245"/>
      <x:c r="E121" s="245"/>
      <x:c r="F121" s="245"/>
      <x:c r="G121" s="245"/>
      <x:c r="H121" s="245"/>
      <x:c r="I121" s="245"/>
      <x:c r="J121" s="245"/>
      <x:c r="K121" s="245"/>
      <x:c r="L121" s="245"/>
      <x:c r="M121" s="245"/>
      <x:c r="N121" s="245"/>
      <x:c r="O121" s="245"/>
      <x:c r="P121" s="245"/>
      <x:c r="Q121" s="245"/>
    </x:row>
    <x:row r="122">
      <x:c r="A122" s="245"/>
      <x:c r="B122" s="245"/>
      <x:c r="C122" s="245"/>
      <x:c r="D122" s="245"/>
      <x:c r="E122" s="245"/>
      <x:c r="F122" s="245"/>
      <x:c r="G122" s="245"/>
      <x:c r="H122" s="245"/>
      <x:c r="I122" s="245"/>
      <x:c r="J122" s="245"/>
      <x:c r="K122" s="245"/>
      <x:c r="L122" s="245"/>
      <x:c r="M122" s="245"/>
      <x:c r="N122" s="245"/>
      <x:c r="O122" s="245"/>
      <x:c r="P122" s="245"/>
      <x:c r="Q122" s="245"/>
    </x:row>
    <x:row r="123">
      <x:c r="A123" s="176" t="str">
        <x:v>报告期</x:v>
      </x:c>
      <x:c r="B123" s="176" t="str">
        <x:v>营业收入</x:v>
      </x:c>
      <x:c r="C123" s="176" t="str">
        <x:v>毛利润</x:v>
      </x:c>
      <x:c r="D123" s="176" t="str">
        <x:v>归母净利润</x:v>
      </x:c>
      <x:c r="E123" s="176" t="str">
        <x:v>综合毛利率</x:v>
      </x:c>
      <x:c r="F123" s="176" t="str">
        <x:v>净利率</x:v>
      </x:c>
      <x:c r="G123" s="245"/>
      <x:c r="H123" s="245"/>
      <x:c r="I123" s="245"/>
      <x:c r="J123" s="245"/>
      <x:c r="K123" s="245"/>
      <x:c r="L123" s="245"/>
      <x:c r="M123" s="245"/>
      <x:c r="N123" s="245"/>
      <x:c r="O123" s="245"/>
      <x:c r="P123" s="245"/>
      <x:c r="Q123" s="245"/>
    </x:row>
    <x:row r="124">
      <x:c r="A124" s="262" t="str">
        <x:f>B26</x:f>
        <x:v>2025A</x:v>
      </x:c>
      <x:c r="B124" s="259" t="n">
        <x:f>B27</x:f>
        <x:v>8.7999932916</x:v>
      </x:c>
      <x:c r="C124" s="259" t="n">
        <x:f>B29</x:f>
        <x:v>3.1488706846999994</x:v>
      </x:c>
      <x:c r="D124" s="259" t="n">
        <x:f>B40</x:f>
        <x:v>-0.3840957427000004</x:v>
      </x:c>
      <x:c r="E124" s="263" t="n">
        <x:f>B30</x:f>
        <x:v>0.35782648694809144</x:v>
      </x:c>
      <x:c r="F124" s="263" t="n">
        <x:f>B41</x:f>
        <x:v>-0.04364727676174907</x:v>
      </x:c>
      <x:c r="G124" s="245"/>
      <x:c r="H124" s="245"/>
      <x:c r="I124" s="245"/>
      <x:c r="J124" s="245"/>
      <x:c r="K124" s="245"/>
      <x:c r="L124" s="245"/>
      <x:c r="M124" s="245"/>
      <x:c r="N124" s="245"/>
      <x:c r="O124" s="245"/>
      <x:c r="P124" s="245"/>
      <x:c r="Q124" s="245"/>
    </x:row>
    <x:row r="125">
      <x:c r="A125" s="262" t="str">
        <x:f>C26</x:f>
        <x:v>2026H1A</x:v>
      </x:c>
      <x:c r="B125" s="259" t="n">
        <x:f>C27</x:f>
        <x:v>4.1856510076</x:v>
      </x:c>
      <x:c r="C125" s="259" t="n">
        <x:f>C29</x:f>
        <x:v>1.8139376472</x:v>
      </x:c>
      <x:c r="D125" s="259" t="n">
        <x:f>C40</x:f>
        <x:v>-0.6722878031999998</x:v>
      </x:c>
      <x:c r="E125" s="263" t="n">
        <x:f>C30</x:f>
        <x:v>0.43337049455541904</x:v>
      </x:c>
      <x:c r="F125" s="263" t="n">
        <x:f>C41</x:f>
        <x:v>-0.16061726168266505</x:v>
      </x:c>
      <x:c r="G125" s="245"/>
      <x:c r="H125" s="245"/>
      <x:c r="I125" s="245"/>
      <x:c r="J125" s="245"/>
      <x:c r="K125" s="245"/>
      <x:c r="L125" s="245"/>
      <x:c r="M125" s="245"/>
      <x:c r="N125" s="245"/>
      <x:c r="O125" s="245"/>
      <x:c r="P125" s="245"/>
      <x:c r="Q125" s="245"/>
    </x:row>
    <x:row r="126">
      <x:c r="A126" s="262" t="str">
        <x:f>D26</x:f>
        <x:v>2026E</x:v>
      </x:c>
      <x:c r="B126" s="259" t="n">
        <x:f>D27</x:f>
        <x:v>11.3114144</x:v>
      </x:c>
      <x:c r="C126" s="259" t="n">
        <x:f>D29</x:f>
        <x:v>5.503988639999999</x:v>
      </x:c>
      <x:c r="D126" s="259" t="n">
        <x:f>D40</x:f>
        <x:v>0.8231908703999995</x:v>
      </x:c>
      <x:c r="E126" s="263" t="n">
        <x:f>D30</x:f>
        <x:v>0.48658712742413535</x:v>
      </x:c>
      <x:c r="F126" s="263" t="n">
        <x:f>D41</x:f>
        <x:v>0.07277523758655677</x:v>
      </x:c>
      <x:c r="G126" s="245"/>
      <x:c r="H126" s="245"/>
      <x:c r="I126" s="245"/>
      <x:c r="J126" s="245"/>
      <x:c r="K126" s="245"/>
      <x:c r="L126" s="245"/>
      <x:c r="M126" s="245"/>
      <x:c r="N126" s="245"/>
      <x:c r="O126" s="245"/>
      <x:c r="P126" s="245"/>
      <x:c r="Q126" s="245"/>
    </x:row>
    <x:row r="127">
      <x:c r="A127" s="262" t="str">
        <x:f>E26</x:f>
        <x:v>2027E</x:v>
      </x:c>
      <x:c r="B127" s="259" t="n">
        <x:f>E27</x:f>
        <x:v>39.989853600000004</x:v>
      </x:c>
      <x:c r="C127" s="259" t="n">
        <x:f>E29</x:f>
        <x:v>22.32173216</x:v>
      </x:c>
      <x:c r="D127" s="259" t="n">
        <x:f>E40</x:f>
        <x:v>8.453124351299998</x:v>
      </x:c>
      <x:c r="E127" s="263" t="n">
        <x:f>E30</x:f>
        <x:v>0.558184893180004</x:v>
      </x:c>
      <x:c r="F127" s="263" t="n">
        <x:f>E41</x:f>
        <x:v>0.21138172787159185</x:v>
      </x:c>
      <x:c r="G127" s="245"/>
      <x:c r="H127" s="245"/>
      <x:c r="I127" s="245"/>
      <x:c r="J127" s="245"/>
      <x:c r="K127" s="245"/>
      <x:c r="L127" s="245"/>
      <x:c r="M127" s="245"/>
      <x:c r="N127" s="245"/>
      <x:c r="O127" s="245"/>
      <x:c r="P127" s="245"/>
      <x:c r="Q127" s="245"/>
    </x:row>
    <x:row r="128">
      <x:c r="A128" s="262" t="str">
        <x:f>F26</x:f>
        <x:v>2028E</x:v>
      </x:c>
      <x:c r="B128" s="259" t="n">
        <x:f>F27</x:f>
        <x:v>107.689760688</x:v>
      </x:c>
      <x:c r="C128" s="259" t="n">
        <x:f>F29</x:f>
        <x:v>62.2895589128</x:v>
      </x:c>
      <x:c r="D128" s="259" t="n">
        <x:f>F40</x:f>
        <x:v>31.04018204382039</x:v>
      </x:c>
      <x:c r="E128" s="263" t="n">
        <x:f>F30</x:f>
        <x:v>0.5784167270393145</x:v>
      </x:c>
      <x:c r="F128" s="263" t="n">
        <x:f>F41</x:f>
        <x:v>0.2882370788598032</x:v>
      </x:c>
      <x:c r="G128" s="245"/>
      <x:c r="H128" s="245"/>
      <x:c r="I128" s="245"/>
      <x:c r="J128" s="245"/>
      <x:c r="K128" s="245"/>
      <x:c r="L128" s="245"/>
      <x:c r="M128" s="245"/>
      <x:c r="N128" s="245"/>
      <x:c r="O128" s="245"/>
      <x:c r="P128" s="245"/>
      <x:c r="Q128" s="245"/>
    </x:row>
    <x:row r="129">
      <x:c r="A129" s="262" t="str">
        <x:f>G26</x:f>
        <x:v>2029E</x:v>
      </x:c>
      <x:c r="B129" s="259" t="n">
        <x:f>G27</x:f>
        <x:v>184.96422548448004</x:v>
      </x:c>
      <x:c r="C129" s="259" t="n">
        <x:f>G29</x:f>
        <x:v>108.24532754068804</x:v>
      </x:c>
      <x:c r="D129" s="259" t="n">
        <x:f>G40</x:f>
        <x:v>56.52790069401622</x:v>
      </x:c>
      <x:c r="E129" s="263" t="n">
        <x:f>G30</x:f>
        <x:v>0.5852230465494566</x:v>
      </x:c>
      <x:c r="F129" s="263" t="n">
        <x:f>G41</x:f>
        <x:v>0.30561531856201757</x:v>
      </x:c>
      <x:c r="G129" s="245"/>
      <x:c r="H129" s="245"/>
      <x:c r="I129" s="245"/>
      <x:c r="J129" s="245"/>
      <x:c r="K129" s="245"/>
      <x:c r="L129" s="245"/>
      <x:c r="M129" s="245"/>
      <x:c r="N129" s="245"/>
      <x:c r="O129" s="245"/>
      <x:c r="P129" s="245"/>
      <x:c r="Q129" s="245"/>
    </x:row>
    <x:row r="130">
      <x:c r="A130" s="262" t="str">
        <x:f>H26</x:f>
        <x:v>2030E</x:v>
      </x:c>
      <x:c r="B130" s="259" t="n">
        <x:f>H27</x:f>
        <x:v>256.108988794752</x:v>
      </x:c>
      <x:c r="C130" s="259" t="n">
        <x:f>H29</x:f>
        <x:v>150.56292397685118</x:v>
      </x:c>
      <x:c r="D130" s="259" t="n">
        <x:f>H40</x:f>
        <x:v>81.91264559950919</x:v>
      </x:c>
      <x:c r="E130" s="263" t="n">
        <x:f>H30</x:f>
        <x:v>0.5878861366225362</x:v>
      </x:c>
      <x:c r="F130" s="263" t="n">
        <x:f>H41</x:f>
        <x:v>0.31983510608116417</x:v>
      </x:c>
      <x:c r="G130" s="245"/>
      <x:c r="H130" s="245"/>
      <x:c r="I130" s="245"/>
      <x:c r="J130" s="245"/>
      <x:c r="K130" s="245"/>
      <x:c r="L130" s="245"/>
      <x:c r="M130" s="245"/>
      <x:c r="N130" s="245"/>
      <x:c r="O130" s="245"/>
      <x:c r="P130" s="245"/>
      <x:c r="Q130" s="245"/>
    </x:row>
    <x:row r="131">
      <x:c r="A131" s="245"/>
      <x:c r="B131" s="245"/>
      <x:c r="C131" s="245"/>
      <x:c r="D131" s="245"/>
      <x:c r="E131" s="245"/>
      <x:c r="F131" s="245"/>
      <x:c r="G131" s="245"/>
      <x:c r="H131" s="245"/>
      <x:c r="I131" s="245"/>
      <x:c r="J131" s="245"/>
      <x:c r="K131" s="245"/>
      <x:c r="L131" s="245"/>
      <x:c r="M131" s="245"/>
      <x:c r="N131" s="245"/>
      <x:c r="O131" s="245"/>
      <x:c r="P131" s="245"/>
      <x:c r="Q131" s="245"/>
    </x:row>
    <x:row r="132">
      <x:c r="A132" s="245"/>
      <x:c r="B132" s="245"/>
      <x:c r="C132" s="245"/>
      <x:c r="D132" s="245"/>
      <x:c r="E132" s="245"/>
      <x:c r="F132" s="245"/>
      <x:c r="G132" s="245"/>
      <x:c r="H132" s="245"/>
      <x:c r="I132" s="245"/>
      <x:c r="J132" s="245"/>
      <x:c r="K132" s="245"/>
      <x:c r="L132" s="245"/>
      <x:c r="M132" s="245"/>
      <x:c r="N132" s="245"/>
      <x:c r="O132" s="245"/>
      <x:c r="P132" s="245"/>
      <x:c r="Q132" s="245"/>
    </x:row>
    <x:row r="133" ht="36" customHeight="1">
      <x:c r="A133" s="192" t="str">
        <x:v>深色数值：已披露原值；黑色公式：本表计算；蓝色公式：工作簿内跨表联动。来源表不作为情景假设，预测请在原机会输入与合并预测中修改。</x:v>
      </x:c>
      <x:c r="B133" s="192"/>
      <x:c r="C133" s="192"/>
      <x:c r="D133" s="192"/>
      <x:c r="E133" s="192"/>
      <x:c r="F133" s="192"/>
      <x:c r="G133" s="192"/>
      <x:c r="H133" s="192"/>
      <x:c r="I133" s="192"/>
      <x:c r="J133" s="192"/>
      <x:c r="K133" s="192"/>
      <x:c r="L133" s="192"/>
      <x:c r="M133" s="192"/>
      <x:c r="N133" s="192"/>
      <x:c r="O133" s="192"/>
      <x:c r="P133" s="245"/>
      <x:c r="Q133" s="245"/>
    </x:row>
    <x:row r="134">
      <x:c r="A134" s="245"/>
      <x:c r="B134" s="245"/>
      <x:c r="C134" s="245"/>
      <x:c r="D134" s="245"/>
      <x:c r="E134" s="245"/>
      <x:c r="F134" s="245"/>
      <x:c r="G134" s="245"/>
      <x:c r="H134" s="245"/>
      <x:c r="I134" s="245"/>
      <x:c r="J134" s="245"/>
      <x:c r="K134" s="245"/>
      <x:c r="L134" s="245"/>
      <x:c r="M134" s="245"/>
      <x:c r="N134" s="245"/>
      <x:c r="O134" s="245"/>
      <x:c r="P134" s="245"/>
      <x:c r="Q134" s="245"/>
    </x:row>
    <x:row r="135">
      <x:c r="A135" s="245"/>
      <x:c r="B135" s="245"/>
      <x:c r="C135" s="245"/>
      <x:c r="D135" s="245"/>
      <x:c r="E135" s="245"/>
      <x:c r="F135" s="245"/>
      <x:c r="G135" s="245"/>
      <x:c r="H135" s="245"/>
      <x:c r="I135" s="245"/>
      <x:c r="J135" s="245"/>
      <x:c r="K135" s="245"/>
      <x:c r="L135" s="245"/>
      <x:c r="M135" s="245"/>
      <x:c r="N135" s="245"/>
      <x:c r="O135" s="245"/>
      <x:c r="P135" s="245"/>
      <x:c r="Q135" s="245"/>
    </x:row>
    <x:row r="136">
      <x:c r="A136" s="245"/>
      <x:c r="B136" s="245"/>
      <x:c r="C136" s="245"/>
      <x:c r="D136" s="245"/>
      <x:c r="E136" s="245"/>
      <x:c r="F136" s="245"/>
      <x:c r="G136" s="245"/>
      <x:c r="H136" s="245"/>
      <x:c r="I136" s="245"/>
      <x:c r="J136" s="245"/>
      <x:c r="K136" s="245"/>
      <x:c r="L136" s="245"/>
      <x:c r="M136" s="245"/>
      <x:c r="N136" s="245"/>
      <x:c r="O136" s="245"/>
      <x:c r="P136" s="245"/>
      <x:c r="Q136" s="245"/>
    </x:row>
    <x:row r="137">
      <x:c r="A137" s="245"/>
      <x:c r="B137" s="245"/>
      <x:c r="C137" s="245"/>
      <x:c r="D137" s="245"/>
      <x:c r="E137" s="245"/>
      <x:c r="F137" s="245"/>
      <x:c r="G137" s="245"/>
      <x:c r="H137" s="245"/>
      <x:c r="I137" s="245"/>
      <x:c r="J137" s="245"/>
      <x:c r="K137" s="245"/>
      <x:c r="L137" s="245"/>
      <x:c r="M137" s="245"/>
      <x:c r="N137" s="245"/>
      <x:c r="O137" s="245"/>
      <x:c r="P137" s="245"/>
      <x:c r="Q137" s="245"/>
    </x:row>
    <x:row r="138">
      <x:c r="A138" s="245"/>
      <x:c r="B138" s="245"/>
      <x:c r="C138" s="245"/>
      <x:c r="D138" s="245"/>
      <x:c r="E138" s="245"/>
      <x:c r="F138" s="245"/>
      <x:c r="G138" s="245"/>
      <x:c r="H138" s="245"/>
      <x:c r="I138" s="245"/>
      <x:c r="J138" s="245"/>
      <x:c r="K138" s="245"/>
      <x:c r="L138" s="245"/>
      <x:c r="M138" s="245"/>
      <x:c r="N138" s="245"/>
      <x:c r="O138" s="245"/>
      <x:c r="P138" s="245"/>
      <x:c r="Q138" s="245"/>
    </x:row>
    <x:row r="139">
      <x:c r="A139" s="245"/>
      <x:c r="B139" s="245"/>
      <x:c r="C139" s="245"/>
      <x:c r="D139" s="245"/>
      <x:c r="E139" s="245"/>
      <x:c r="F139" s="245"/>
      <x:c r="G139" s="245"/>
      <x:c r="H139" s="245"/>
      <x:c r="I139" s="245"/>
      <x:c r="J139" s="245"/>
      <x:c r="K139" s="245"/>
      <x:c r="L139" s="245"/>
      <x:c r="M139" s="245"/>
      <x:c r="N139" s="245"/>
      <x:c r="O139" s="245"/>
      <x:c r="P139" s="245"/>
      <x:c r="Q139" s="245"/>
    </x:row>
    <x:row r="140">
      <x:c r="A140" s="245"/>
      <x:c r="B140" s="245"/>
      <x:c r="C140" s="245"/>
      <x:c r="D140" s="245"/>
      <x:c r="E140" s="245"/>
      <x:c r="F140" s="245"/>
      <x:c r="G140" s="245"/>
      <x:c r="H140" s="245"/>
      <x:c r="I140" s="245"/>
      <x:c r="J140" s="245"/>
      <x:c r="K140" s="245"/>
      <x:c r="L140" s="245"/>
      <x:c r="M140" s="245"/>
      <x:c r="N140" s="245"/>
      <x:c r="O140" s="245"/>
      <x:c r="P140" s="245"/>
      <x:c r="Q140" s="245"/>
    </x:row>
    <x:row r="141">
      <x:c r="A141" s="245"/>
      <x:c r="B141" s="245"/>
      <x:c r="C141" s="245"/>
      <x:c r="D141" s="245"/>
      <x:c r="E141" s="245"/>
      <x:c r="F141" s="245"/>
      <x:c r="G141" s="245"/>
      <x:c r="H141" s="245"/>
      <x:c r="I141" s="245"/>
      <x:c r="J141" s="245"/>
      <x:c r="K141" s="245"/>
      <x:c r="L141" s="245"/>
      <x:c r="M141" s="245"/>
      <x:c r="N141" s="245"/>
      <x:c r="O141" s="245"/>
      <x:c r="P141" s="245"/>
      <x:c r="Q141" s="245"/>
    </x:row>
    <x:row r="142">
      <x:c r="A142" s="245"/>
      <x:c r="B142" s="245"/>
      <x:c r="C142" s="245"/>
      <x:c r="D142" s="245"/>
      <x:c r="E142" s="245"/>
      <x:c r="F142" s="245"/>
      <x:c r="G142" s="245"/>
      <x:c r="H142" s="245"/>
      <x:c r="I142" s="245"/>
      <x:c r="J142" s="245"/>
      <x:c r="K142" s="245"/>
      <x:c r="L142" s="245"/>
      <x:c r="M142" s="245"/>
      <x:c r="N142" s="245"/>
      <x:c r="O142" s="245"/>
      <x:c r="P142" s="245"/>
      <x:c r="Q142" s="245"/>
    </x:row>
    <x:row r="143">
      <x:c r="A143" s="245"/>
      <x:c r="B143" s="245"/>
      <x:c r="C143" s="245"/>
      <x:c r="D143" s="245"/>
      <x:c r="E143" s="245"/>
      <x:c r="F143" s="245"/>
      <x:c r="G143" s="245"/>
      <x:c r="H143" s="245"/>
      <x:c r="I143" s="245"/>
      <x:c r="J143" s="245"/>
      <x:c r="K143" s="245"/>
      <x:c r="L143" s="245"/>
      <x:c r="M143" s="245"/>
      <x:c r="N143" s="245"/>
      <x:c r="O143" s="245"/>
      <x:c r="P143" s="245"/>
      <x:c r="Q143" s="245"/>
    </x:row>
    <x:row r="144">
      <x:c r="A144" s="245"/>
      <x:c r="B144" s="245"/>
      <x:c r="C144" s="245"/>
      <x:c r="D144" s="245"/>
      <x:c r="E144" s="245"/>
      <x:c r="F144" s="245"/>
      <x:c r="G144" s="245"/>
      <x:c r="H144" s="245"/>
      <x:c r="I144" s="245"/>
      <x:c r="J144" s="245"/>
      <x:c r="K144" s="245"/>
      <x:c r="L144" s="245"/>
      <x:c r="M144" s="245"/>
      <x:c r="N144" s="245"/>
      <x:c r="O144" s="245"/>
      <x:c r="P144" s="245"/>
      <x:c r="Q144" s="245"/>
    </x:row>
    <x:row r="145">
      <x:c r="A145" s="245"/>
      <x:c r="B145" s="245"/>
      <x:c r="C145" s="245"/>
      <x:c r="D145" s="245"/>
      <x:c r="E145" s="245"/>
      <x:c r="F145" s="245"/>
      <x:c r="G145" s="245"/>
      <x:c r="H145" s="245"/>
      <x:c r="I145" s="245"/>
      <x:c r="J145" s="245"/>
      <x:c r="K145" s="245"/>
      <x:c r="L145" s="245"/>
      <x:c r="M145" s="245"/>
      <x:c r="N145" s="245"/>
      <x:c r="O145" s="245"/>
      <x:c r="P145" s="245"/>
      <x:c r="Q145" s="245"/>
    </x:row>
    <x:row r="146">
      <x:c r="A146" s="245"/>
      <x:c r="B146" s="245"/>
      <x:c r="C146" s="245"/>
      <x:c r="D146" s="245"/>
      <x:c r="E146" s="245"/>
      <x:c r="F146" s="245"/>
      <x:c r="G146" s="245"/>
      <x:c r="H146" s="245"/>
      <x:c r="I146" s="245"/>
      <x:c r="J146" s="245"/>
      <x:c r="K146" s="245"/>
      <x:c r="L146" s="245"/>
      <x:c r="M146" s="245"/>
      <x:c r="N146" s="245"/>
      <x:c r="O146" s="245"/>
      <x:c r="P146" s="245"/>
      <x:c r="Q146" s="245"/>
    </x:row>
    <x:row r="147">
      <x:c r="A147" s="245"/>
      <x:c r="B147" s="245"/>
      <x:c r="C147" s="245"/>
      <x:c r="D147" s="245"/>
      <x:c r="E147" s="245"/>
      <x:c r="F147" s="245"/>
      <x:c r="G147" s="245"/>
      <x:c r="H147" s="245"/>
      <x:c r="I147" s="245"/>
      <x:c r="J147" s="245"/>
      <x:c r="K147" s="245"/>
      <x:c r="L147" s="245"/>
      <x:c r="M147" s="245"/>
      <x:c r="N147" s="245"/>
      <x:c r="O147" s="245"/>
      <x:c r="P147" s="245"/>
      <x:c r="Q147" s="245"/>
    </x:row>
    <x:row r="148">
      <x:c r="A148" s="245"/>
      <x:c r="B148" s="245"/>
      <x:c r="C148" s="245"/>
      <x:c r="D148" s="245"/>
      <x:c r="E148" s="245"/>
      <x:c r="F148" s="245"/>
      <x:c r="G148" s="245"/>
      <x:c r="H148" s="245"/>
      <x:c r="I148" s="245"/>
      <x:c r="J148" s="245"/>
      <x:c r="K148" s="245"/>
      <x:c r="L148" s="245"/>
      <x:c r="M148" s="245"/>
      <x:c r="N148" s="245"/>
      <x:c r="O148" s="245"/>
      <x:c r="P148" s="245"/>
      <x:c r="Q148" s="245"/>
    </x:row>
    <x:row r="149">
      <x:c r="A149" s="245"/>
      <x:c r="B149" s="245"/>
      <x:c r="C149" s="245"/>
      <x:c r="D149" s="245"/>
      <x:c r="E149" s="245"/>
      <x:c r="F149" s="245"/>
      <x:c r="G149" s="245"/>
      <x:c r="H149" s="245"/>
      <x:c r="I149" s="245"/>
      <x:c r="J149" s="245"/>
      <x:c r="K149" s="245"/>
      <x:c r="L149" s="245"/>
      <x:c r="M149" s="245"/>
      <x:c r="N149" s="245"/>
      <x:c r="O149" s="245"/>
      <x:c r="P149" s="245"/>
      <x:c r="Q149" s="245"/>
    </x:row>
    <x:row r="150">
      <x:c r="A150" s="245"/>
      <x:c r="B150" s="245"/>
      <x:c r="C150" s="245"/>
      <x:c r="D150" s="245"/>
      <x:c r="E150" s="245"/>
      <x:c r="F150" s="245"/>
      <x:c r="G150" s="245"/>
      <x:c r="H150" s="245"/>
      <x:c r="I150" s="245"/>
      <x:c r="J150" s="245"/>
      <x:c r="K150" s="245"/>
      <x:c r="L150" s="245"/>
      <x:c r="M150" s="245"/>
      <x:c r="N150" s="245"/>
      <x:c r="O150" s="245"/>
      <x:c r="P150" s="245"/>
      <x:c r="Q150" s="245"/>
    </x:row>
    <x:row r="151">
      <x:c r="A151" s="245"/>
      <x:c r="B151" s="245"/>
      <x:c r="C151" s="245"/>
      <x:c r="D151" s="245"/>
      <x:c r="E151" s="245"/>
      <x:c r="F151" s="245"/>
      <x:c r="G151" s="245"/>
      <x:c r="H151" s="245"/>
      <x:c r="I151" s="245"/>
      <x:c r="J151" s="245"/>
      <x:c r="K151" s="245"/>
      <x:c r="L151" s="245"/>
      <x:c r="M151" s="245"/>
      <x:c r="N151" s="245"/>
      <x:c r="O151" s="245"/>
      <x:c r="P151" s="245"/>
      <x:c r="Q151" s="245"/>
    </x:row>
    <x:row r="152">
      <x:c r="A152" s="184"/>
      <x:c r="B152" s="184"/>
      <x:c r="C152" s="184"/>
      <x:c r="D152" s="184"/>
      <x:c r="E152" s="184"/>
      <x:c r="F152" s="184"/>
      <x:c r="G152" s="184"/>
      <x:c r="H152" s="184"/>
      <x:c r="I152" s="184"/>
      <x:c r="J152" s="184"/>
      <x:c r="K152" s="184"/>
      <x:c r="L152" s="184"/>
      <x:c r="M152" s="184"/>
      <x:c r="N152" s="184"/>
      <x:c r="O152" s="184"/>
      <x:c r="P152" s="184"/>
      <x:c r="Q152" s="184"/>
    </x:row>
    <x:row r="153">
      <x:c r="A153" s="184"/>
      <x:c r="B153" s="184"/>
      <x:c r="C153" s="184"/>
      <x:c r="D153" s="184"/>
      <x:c r="E153" s="184"/>
      <x:c r="F153" s="184"/>
      <x:c r="G153" s="184"/>
      <x:c r="H153" s="184"/>
      <x:c r="I153" s="184"/>
      <x:c r="J153" s="184"/>
      <x:c r="K153" s="184"/>
      <x:c r="L153" s="184"/>
      <x:c r="M153" s="184"/>
      <x:c r="N153" s="184"/>
      <x:c r="O153" s="184"/>
      <x:c r="P153" s="184"/>
      <x:c r="Q153" s="184"/>
    </x:row>
    <x:row r="154">
      <x:c r="A154" s="184"/>
      <x:c r="B154" s="184"/>
      <x:c r="C154" s="184"/>
      <x:c r="D154" s="184"/>
      <x:c r="E154" s="184"/>
      <x:c r="F154" s="184"/>
      <x:c r="G154" s="184"/>
      <x:c r="H154" s="184"/>
      <x:c r="I154" s="184"/>
      <x:c r="J154" s="184"/>
      <x:c r="K154" s="184"/>
      <x:c r="L154" s="184"/>
      <x:c r="M154" s="184"/>
      <x:c r="N154" s="184"/>
      <x:c r="O154" s="184"/>
      <x:c r="P154" s="184"/>
      <x:c r="Q154" s="184"/>
    </x:row>
    <x:row r="155">
      <x:c r="A155" s="184"/>
      <x:c r="B155" s="184"/>
      <x:c r="C155" s="184"/>
      <x:c r="D155" s="184"/>
      <x:c r="E155" s="184"/>
      <x:c r="F155" s="184"/>
      <x:c r="G155" s="184"/>
      <x:c r="H155" s="184"/>
      <x:c r="I155" s="184"/>
      <x:c r="J155" s="184"/>
      <x:c r="K155" s="184"/>
      <x:c r="L155" s="184"/>
      <x:c r="M155" s="184"/>
      <x:c r="N155" s="184"/>
      <x:c r="O155" s="184"/>
      <x:c r="P155" s="184"/>
      <x:c r="Q155" s="184"/>
    </x:row>
    <x:row r="156">
      <x:c r="A156" s="184"/>
      <x:c r="B156" s="184"/>
      <x:c r="C156" s="184"/>
      <x:c r="D156" s="184"/>
      <x:c r="E156" s="184"/>
      <x:c r="F156" s="184"/>
      <x:c r="G156" s="184"/>
      <x:c r="H156" s="184"/>
      <x:c r="I156" s="184"/>
      <x:c r="J156" s="184"/>
      <x:c r="K156" s="184"/>
      <x:c r="L156" s="184"/>
      <x:c r="M156" s="184"/>
      <x:c r="N156" s="184"/>
      <x:c r="O156" s="184"/>
      <x:c r="P156" s="184"/>
      <x:c r="Q156" s="184"/>
    </x:row>
    <x:row r="157">
      <x:c r="A157" s="184"/>
      <x:c r="B157" s="184"/>
      <x:c r="C157" s="184"/>
      <x:c r="D157" s="184"/>
      <x:c r="E157" s="184"/>
      <x:c r="F157" s="184"/>
      <x:c r="G157" s="184"/>
      <x:c r="H157" s="184"/>
      <x:c r="I157" s="184"/>
      <x:c r="J157" s="184"/>
      <x:c r="K157" s="184"/>
      <x:c r="L157" s="184"/>
      <x:c r="M157" s="184"/>
      <x:c r="N157" s="184"/>
      <x:c r="O157" s="184"/>
      <x:c r="P157" s="184"/>
      <x:c r="Q157" s="184"/>
    </x:row>
    <x:row r="158">
      <x:c r="A158" s="184"/>
      <x:c r="B158" s="184"/>
      <x:c r="C158" s="184"/>
      <x:c r="D158" s="184"/>
      <x:c r="E158" s="184"/>
      <x:c r="F158" s="184"/>
      <x:c r="G158" s="184"/>
      <x:c r="H158" s="184"/>
      <x:c r="I158" s="184"/>
      <x:c r="J158" s="184"/>
      <x:c r="K158" s="184"/>
      <x:c r="L158" s="184"/>
      <x:c r="M158" s="184"/>
      <x:c r="N158" s="184"/>
      <x:c r="O158" s="184"/>
      <x:c r="P158" s="184"/>
      <x:c r="Q158" s="184"/>
    </x:row>
    <x:row r="159">
      <x:c r="A159" s="184"/>
      <x:c r="B159" s="184"/>
      <x:c r="C159" s="184"/>
      <x:c r="D159" s="184"/>
      <x:c r="E159" s="184"/>
      <x:c r="F159" s="184"/>
      <x:c r="G159" s="184"/>
      <x:c r="H159" s="184"/>
      <x:c r="I159" s="184"/>
      <x:c r="J159" s="184"/>
      <x:c r="K159" s="184"/>
      <x:c r="L159" s="184"/>
      <x:c r="M159" s="184"/>
      <x:c r="N159" s="184"/>
      <x:c r="O159" s="184"/>
      <x:c r="P159" s="184"/>
      <x:c r="Q159" s="184"/>
    </x:row>
    <x:row r="160">
      <x:c r="A160" s="184"/>
      <x:c r="B160" s="184"/>
      <x:c r="C160" s="184"/>
      <x:c r="D160" s="184"/>
      <x:c r="E160" s="184"/>
      <x:c r="F160" s="184"/>
      <x:c r="G160" s="184"/>
      <x:c r="H160" s="184"/>
      <x:c r="I160" s="184"/>
      <x:c r="J160" s="184"/>
      <x:c r="K160" s="184"/>
      <x:c r="L160" s="184"/>
      <x:c r="M160" s="184"/>
      <x:c r="N160" s="184"/>
      <x:c r="O160" s="184"/>
      <x:c r="P160" s="184"/>
      <x:c r="Q160" s="184"/>
    </x:row>
    <x:row r="161">
      <x:c r="A161" s="184"/>
      <x:c r="B161" s="184"/>
      <x:c r="C161" s="184"/>
      <x:c r="D161" s="184"/>
      <x:c r="E161" s="184"/>
      <x:c r="F161" s="184"/>
      <x:c r="G161" s="184"/>
      <x:c r="H161" s="184"/>
      <x:c r="I161" s="184"/>
      <x:c r="J161" s="184"/>
      <x:c r="K161" s="184"/>
      <x:c r="L161" s="184"/>
      <x:c r="M161" s="184"/>
      <x:c r="N161" s="184"/>
      <x:c r="O161" s="184"/>
      <x:c r="P161" s="184"/>
      <x:c r="Q161" s="184"/>
    </x:row>
    <x:row r="162">
      <x:c r="A162" s="184"/>
      <x:c r="B162" s="184"/>
      <x:c r="C162" s="184"/>
      <x:c r="D162" s="184"/>
      <x:c r="E162" s="184"/>
      <x:c r="F162" s="184"/>
      <x:c r="G162" s="184"/>
      <x:c r="H162" s="184"/>
      <x:c r="I162" s="184"/>
      <x:c r="J162" s="184"/>
      <x:c r="K162" s="184"/>
      <x:c r="L162" s="184"/>
      <x:c r="M162" s="184"/>
      <x:c r="N162" s="184"/>
      <x:c r="O162" s="184"/>
      <x:c r="P162" s="184"/>
      <x:c r="Q162" s="184"/>
    </x:row>
    <x:row r="163">
      <x:c r="A163" s="184"/>
      <x:c r="B163" s="184"/>
      <x:c r="C163" s="184"/>
      <x:c r="D163" s="184"/>
      <x:c r="E163" s="184"/>
      <x:c r="F163" s="184"/>
      <x:c r="G163" s="184"/>
      <x:c r="H163" s="184"/>
      <x:c r="I163" s="184"/>
      <x:c r="J163" s="184"/>
      <x:c r="K163" s="184"/>
      <x:c r="L163" s="184"/>
      <x:c r="M163" s="184"/>
      <x:c r="N163" s="184"/>
      <x:c r="O163" s="184"/>
      <x:c r="P163" s="184"/>
      <x:c r="Q163" s="184"/>
    </x:row>
    <x:row r="164">
      <x:c r="A164" s="184"/>
      <x:c r="B164" s="184"/>
      <x:c r="C164" s="184"/>
      <x:c r="D164" s="184"/>
      <x:c r="E164" s="184"/>
      <x:c r="F164" s="184"/>
      <x:c r="G164" s="184"/>
      <x:c r="H164" s="184"/>
      <x:c r="I164" s="184"/>
      <x:c r="J164" s="184"/>
      <x:c r="K164" s="184"/>
      <x:c r="L164" s="184"/>
      <x:c r="M164" s="184"/>
      <x:c r="N164" s="184"/>
      <x:c r="O164" s="184"/>
      <x:c r="P164" s="184"/>
      <x:c r="Q164" s="184"/>
    </x:row>
    <x:row r="165">
      <x:c r="A165" s="184"/>
      <x:c r="B165" s="184"/>
      <x:c r="C165" s="184"/>
      <x:c r="D165" s="184"/>
      <x:c r="E165" s="184"/>
      <x:c r="F165" s="184"/>
      <x:c r="G165" s="184"/>
      <x:c r="H165" s="184"/>
      <x:c r="I165" s="184"/>
      <x:c r="J165" s="184"/>
      <x:c r="K165" s="184"/>
      <x:c r="L165" s="184"/>
      <x:c r="M165" s="184"/>
      <x:c r="N165" s="184"/>
      <x:c r="O165" s="184"/>
      <x:c r="P165" s="184"/>
      <x:c r="Q165" s="184"/>
    </x:row>
    <x:row r="166">
      <x:c r="A166" s="184"/>
      <x:c r="B166" s="184"/>
      <x:c r="C166" s="184"/>
      <x:c r="D166" s="184"/>
      <x:c r="E166" s="184"/>
      <x:c r="F166" s="184"/>
      <x:c r="G166" s="184"/>
      <x:c r="H166" s="184"/>
      <x:c r="I166" s="184"/>
      <x:c r="J166" s="184"/>
      <x:c r="K166" s="184"/>
      <x:c r="L166" s="184"/>
      <x:c r="M166" s="184"/>
      <x:c r="N166" s="184"/>
      <x:c r="O166" s="184"/>
      <x:c r="P166" s="184"/>
      <x:c r="Q166" s="184"/>
    </x:row>
    <x:row r="167">
      <x:c r="A167" s="184"/>
      <x:c r="B167" s="184"/>
      <x:c r="C167" s="184"/>
      <x:c r="D167" s="184"/>
      <x:c r="E167" s="184"/>
      <x:c r="F167" s="184"/>
      <x:c r="G167" s="184"/>
      <x:c r="H167" s="184"/>
      <x:c r="I167" s="184"/>
      <x:c r="J167" s="184"/>
      <x:c r="K167" s="184"/>
      <x:c r="L167" s="184"/>
      <x:c r="M167" s="184"/>
      <x:c r="N167" s="184"/>
      <x:c r="O167" s="184"/>
      <x:c r="P167" s="184"/>
      <x:c r="Q167" s="184"/>
    </x:row>
    <x:row r="168">
      <x:c r="A168" s="184"/>
      <x:c r="B168" s="184"/>
      <x:c r="C168" s="184"/>
      <x:c r="D168" s="184"/>
      <x:c r="E168" s="184"/>
      <x:c r="F168" s="184"/>
      <x:c r="G168" s="184"/>
      <x:c r="H168" s="184"/>
      <x:c r="I168" s="184"/>
      <x:c r="J168" s="184"/>
      <x:c r="K168" s="184"/>
      <x:c r="L168" s="184"/>
      <x:c r="M168" s="184"/>
      <x:c r="N168" s="184"/>
      <x:c r="O168" s="184"/>
      <x:c r="P168" s="184"/>
      <x:c r="Q168" s="184"/>
    </x:row>
    <x:row r="169">
      <x:c r="A169" s="184"/>
      <x:c r="B169" s="184"/>
      <x:c r="C169" s="184"/>
      <x:c r="D169" s="184"/>
      <x:c r="E169" s="184"/>
      <x:c r="F169" s="184"/>
      <x:c r="G169" s="184"/>
      <x:c r="H169" s="184"/>
      <x:c r="I169" s="184"/>
      <x:c r="J169" s="184"/>
      <x:c r="K169" s="184"/>
      <x:c r="L169" s="184"/>
      <x:c r="M169" s="184"/>
      <x:c r="N169" s="184"/>
      <x:c r="O169" s="184"/>
      <x:c r="P169" s="184"/>
      <x:c r="Q169" s="184"/>
    </x:row>
  </x:sheetData>
  <x:mergeCells>
    <x:mergeCell ref="A1:O1"/>
    <x:mergeCell ref="A2:O2"/>
    <x:mergeCell ref="A23:O23"/>
    <x:mergeCell ref="A47:O47"/>
    <x:mergeCell ref="A88:O88"/>
    <x:mergeCell ref="A104:O104"/>
    <x:mergeCell ref="A106:O106"/>
    <x:mergeCell ref="D107:H107"/>
    <x:mergeCell ref="D108:H108"/>
    <x:mergeCell ref="D109:H109"/>
    <x:mergeCell ref="D110:H110"/>
    <x:mergeCell ref="D111:H111"/>
    <x:mergeCell ref="D112:H112"/>
    <x:mergeCell ref="D113:H113"/>
    <x:mergeCell ref="D114:H114"/>
    <x:mergeCell ref="A116:O116"/>
    <x:mergeCell ref="A84:O84"/>
    <x:mergeCell ref="A133:O133"/>
  </x:mergeCells>
  <x:pageMargins left="0.7" right="0.7" top="0.75" bottom="0.75" header="0.3" footer="0.3"/>
  <x:drawing xmlns:r="http://schemas.openxmlformats.org/officeDocument/2006/relationships" r:id="R174e9bfad2d345c0"/>
</x:worksheet>
</file>