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3.xml" ContentType="application/vnd.openxmlformats-officedocument.spreadsheetml.worksheet+xml"/>
  <Override PartName="/xl/comments2.xml" ContentType="application/vnd.openxmlformats-officedocument.spreadsheetml.comments+xml"/>
  <Override PartName="/xl/threadedcomments/threadedcomment2.xml" ContentType="application/vnd.ms-excel.threadedcomments+xml"/>
  <Override PartName="/xl/worksheets/sheet4.xml" ContentType="application/vnd.openxmlformats-officedocument.spreadsheetml.worksheet+xml"/>
  <Override PartName="/xl/worksheets/sheet5.xml" ContentType="application/vnd.openxmlformats-officedocument.spreadsheetml.worksheet+xml"/>
  <Override PartName="/xl/comments3.xml" ContentType="application/vnd.openxmlformats-officedocument.spreadsheetml.comments+xml"/>
  <Override PartName="/xl/threadedcomments/threadedcomment3.xml" ContentType="application/vnd.ms-excel.threadedcomments+xml"/>
  <Override PartName="/xl/worksheets/sheet6.xml" ContentType="application/vnd.openxmlformats-officedocument.spreadsheetml.worksheet+xml"/>
  <Override PartName="/xl/drawings/drawing2.xml" ContentType="application/vnd.openxmlformats-officedocument.drawing+xml"/>
  <Override PartName="/xl/drawings/charts/chart2.xml" ContentType="application/vnd.openxmlformats-officedocument.drawingml.chart+xml"/>
  <Override PartName="/xl/drawings/charts/chart3.xml" ContentType="application/vnd.openxmlformats-officedocument.drawingml.char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594df5b85ad944c7" /></Relationships>
</file>

<file path=xl/workbook.xml><?xml version="1.0" encoding="utf-8"?>
<x:workbook xmlns:x="http://schemas.openxmlformats.org/spreadsheetml/2006/main">
  <x:sheets>
    <x:sheet xmlns:r="http://schemas.openxmlformats.org/officeDocument/2006/relationships" name="结论摘要" sheetId="1" r:id="Red13ee35e3eb49a8"/>
    <x:sheet xmlns:r="http://schemas.openxmlformats.org/officeDocument/2006/relationships" name="历史财务" sheetId="2" r:id="Rb3144c01e8af4a5c"/>
    <x:sheet xmlns:r="http://schemas.openxmlformats.org/officeDocument/2006/relationships" name="核心假设" sheetId="3" r:id="R7e6663fab8bf48a9"/>
    <x:sheet xmlns:r="http://schemas.openxmlformats.org/officeDocument/2006/relationships" name="分部预测" sheetId="4" r:id="R68f1d87d16d243a4"/>
    <x:sheet xmlns:r="http://schemas.openxmlformats.org/officeDocument/2006/relationships" name="消费电子驱动" sheetId="5" r:id="Rfae4a6157363467e"/>
    <x:sheet xmlns:r="http://schemas.openxmlformats.org/officeDocument/2006/relationships" name="情景对比" sheetId="6" r:id="Re42235e7711a42b0"/>
    <x:sheet xmlns:r="http://schemas.openxmlformats.org/officeDocument/2006/relationships" name="敏感性" sheetId="7" r:id="Rd152799a7c454548"/>
    <x:sheet xmlns:r="http://schemas.openxmlformats.org/officeDocument/2006/relationships" name="分部估值" sheetId="8" r:id="Rc67f19933c80407b"/>
    <x:sheet xmlns:r="http://schemas.openxmlformats.org/officeDocument/2006/relationships" name="行业研判" sheetId="9" r:id="R3a7842ce159648f3"/>
    <x:sheet xmlns:r="http://schemas.openxmlformats.org/officeDocument/2006/relationships" name="增长点与期权" sheetId="10" r:id="Rda942b37d9e14a96"/>
    <x:sheet xmlns:r="http://schemas.openxmlformats.org/officeDocument/2006/relationships" name="网页同步核对" sheetId="11" r:id="R67cbe8ead17d4270"/>
    <x:sheet xmlns:r="http://schemas.openxmlformats.org/officeDocument/2006/relationships" name="检查" sheetId="12" r:id="R389debfd085a43c7"/>
    <x:sheet xmlns:r="http://schemas.openxmlformats.org/officeDocument/2006/relationships" name="来源审计" sheetId="13" r:id="R2813e899039e41bd"/>
    <x:sheet xmlns:r="http://schemas.openxmlformats.org/officeDocument/2006/relationships" name="新增市场空间" sheetId="14" r:id="R8ea890d96ae842fc"/>
  </x:sheets>
</x:workbook>
</file>

<file path=xl/comments1.xml><?xml version="1.0" encoding="utf-8"?>
<x:comments xmlns:x="http://schemas.openxmlformats.org/spreadsheetml/2006/main">
  <x:authors>
    <x:author>tc={07AEAF33-ADD9-6406-CDA9-8E1E5B88AB7D}</x:author>
    <x:author>tc={BC485C37-52E9-5F8D-1D46-6F533C78A536}</x:author>
    <x:author>tc={D6E8F1BD-B639-5183-0E3B-B5B60424F9CE}</x:author>
    <x:author>tc={6C4F52E8-D958-0BED-78A2-A0158DBAE4B5}</x:author>
    <x:author>tc={EF2B687A-5D09-B266-6F53-878E93C8859C}</x:author>
    <x:author>tc={9EADA02A-3095-5A74-1A91-71C2530C2276}</x:author>
    <x:author>tc={0C97E8A2-22DB-E310-23DA-62C391C337ED}</x:author>
    <x:author>tc={EEF36F15-1959-9E36-9891-2F50CE729CD2}</x:author>
  </x:authors>
  <x:commentList>
    <x:comment ref="B7" authorId="0">
      <x:text>
        <x:r>
          <x:t>[Threaded comment]
Your version of Excel allows you to read this threaded comment; however, any edits to it will get removed if the file is opened in a newer version of Excel. Learn more: https://go.microsoft.com/fwlink/?linkid=870924
Comment:
    Source: https://static.cninfo.com.cn/finalpage/2022-04-12/1212887556.PDF</x:t>
        </x:r>
      </x:text>
    </x:comment>
    <x:comment ref="C7" authorId="1">
      <x:text>
        <x:r>
          <x:t>[Threaded comment]
Your version of Excel allows you to read this threaded comment; however, any edits to it will get removed if the file is opened in a newer version of Excel. Learn more: https://go.microsoft.com/fwlink/?linkid=870924
Comment:
    Source: https://static.cninfo.com.cn/finalpage/2023-03-04/1216050813.PDF</x:t>
        </x:r>
      </x:text>
    </x:comment>
    <x:comment ref="D7" authorId="2">
      <x:text>
        <x:r>
          <x:t>[Threaded comment]
Your version of Excel allows you to read this threaded comment; however, any edits to it will get removed if the file is opened in a newer version of Excel. Learn more: https://go.microsoft.com/fwlink/?linkid=870924
Comment:
    Source: https://static.cninfo.com.cn/finalpage/2024-03-28/1219423821.PDF</x:t>
        </x:r>
      </x:text>
    </x:comment>
    <x:comment ref="E7" authorId="3">
      <x:text>
        <x:r>
          <x:t>[Threaded comment]
Your version of Excel allows you to read this threaded comment; however, any edits to it will get removed if the file is opened in a newer version of Excel. Learn more: https://go.microsoft.com/fwlink/?linkid=870924
Comment:
    Source: https://static.cninfo.com.cn/finalpage/2025-04-24/1223236600.PDF</x:t>
        </x:r>
      </x:text>
    </x:comment>
    <x:comment ref="F7" authorId="4">
      <x:text>
        <x:r>
          <x:t>[Threaded comment]
Your version of Excel allows you to read this threaded comment; however, any edits to it will get removed if the file is opened in a newer version of Excel. Learn more: https://go.microsoft.com/fwlink/?linkid=870924
Comment:
    Source: https://static.cninfo.com.cn/finalpage/2026-04-25/1225176273.PDF</x:t>
        </x:r>
      </x:text>
    </x:comment>
    <x:comment ref="G7" authorId="5">
      <x:text>
        <x:r>
          <x:t>[Threaded comment]
Your version of Excel allows you to read this threaded comment; however, any edits to it will get removed if the file is opened in a newer version of Excel. Learn more: https://go.microsoft.com/fwlink/?linkid=870924
Comment:
    Source: https://static.cninfo.com.cn/finalpage/2026-04-27/1225197952.PDF</x:t>
        </x:r>
      </x:text>
    </x:comment>
    <x:comment ref="B22" authorId="6">
      <x:text>
        <x:r>
          <x:t>[Threaded comment]
Your version of Excel allows you to read this threaded comment; however, any edits to it will get removed if the file is opened in a newer version of Excel. Learn more: https://go.microsoft.com/fwlink/?linkid=870924
Comment:
    Source: https://static.cninfo.com.cn/finalpage/2026-07-20/1225431458.PDF</x:t>
        </x:r>
      </x:text>
    </x:comment>
    <x:comment ref="B29" authorId="7">
      <x:text>
        <x:r>
          <x:t>[Threaded comment]
Your version of Excel allows you to read this threaded comment; however, any edits to it will get removed if the file is opened in a newer version of Excel. Learn more: https://go.microsoft.com/fwlink/?linkid=870924
Comment:
    Source: https://static.cninfo.com.cn/finalpage/2026-04-25/1225176273.PDF</x:t>
        </x:r>
      </x:text>
    </x:comment>
  </x:commentList>
</x:comments>
</file>

<file path=xl/comments2.xml><?xml version="1.0" encoding="utf-8"?>
<x:comments xmlns:x="http://schemas.openxmlformats.org/spreadsheetml/2006/main">
  <x:authors>
    <x:author>tc={475C00C2-4F53-FCCC-2DA6-21204E9ED752}</x:author>
    <x:author>tc={CAD63AE5-880C-17BF-4E39-8B3B1E8C493B}</x:author>
    <x:author>tc={09F9846C-6791-6C93-4BEB-F2F743C89DC1}</x:author>
    <x:author>tc={2B0D563C-37FA-9DCA-7D60-809EF50D41C5}</x:author>
    <x:author>tc={51285043-8DCC-0A8F-BDE7-2E70951F3D42}</x:author>
    <x:author>tc={FE11DB9D-C351-6780-BA98-0FE25BA292E3}</x:author>
  </x:authors>
  <x:commentList>
    <x:comment ref="I6" authorId="0">
      <x:text>
        <x:r>
          <x:t>[Threaded comment]
Your version of Excel allows you to read this threaded comment; however, any edits to it will get removed if the file is opened in a newer version of Excel. Learn more: https://go.microsoft.com/fwlink/?linkid=870924
Comment:
    2026基准228百万部：以2025 Apple出货240.6百万部、2026 iOS出货下降5.2%的公开预测近似校准。Source: https://omdia.tech.informa.com/pr/2026/jan/global-smartphone-market-grew-2percent-in-2025-while-memory-headwinds-set-the-stage-for-a-challenging-2026 ; https://www.idc.com/promo/smartphone-market-share/?submit=Search</x:t>
        </x:r>
      </x:text>
    </x:comment>
    <x:comment ref="I10" authorId="1">
      <x:text>
        <x:r>
          <x:t>[Threaded comment]
Your version of Excel allows you to read this threaded comment; however, any edits to it will get removed if the file is opened in a newer version of Excel. Learn more: https://go.microsoft.com/fwlink/?linkid=870924
Comment:
    单片加工费为会议全量TAM 20–30亿元÷终端量÷前端片数系数反推，约5.5–8.3元/加工片；非公司公开报价。基准取8元。Source: 用户提供的2026-06-10交流纪要</x:t>
        </x:r>
      </x:text>
    </x:comment>
    <x:comment ref="I12" authorId="2">
      <x:text>
        <x:r>
          <x:t>[Threaded comment]
Your version of Excel allows you to read this threaded comment; however, any edits to it will get removed if the file is opened in a newer version of Excel. Learn more: https://go.microsoft.com/fwlink/?linkid=870924
Comment:
    公开专利示例与2025混合线材ASP反推约0.06–0.54元/片；规格差异大。Source: https://patents.google.com/patent/CN108527114A/zh</x:t>
        </x:r>
      </x:text>
    </x:comment>
    <x:comment ref="I18" authorId="3">
      <x:text>
        <x:r>
          <x:t>[Threaded comment]
Your version of Excel allows you to read this threaded comment; however, any edits to it will get removed if the file is opened in a newer version of Excel. Learn more: https://go.microsoft.com/fwlink/?linkid=870924
Comment:
    网页基准参数：2026E 首批设备兑现10%，交付节奏为0；2027E起按验证现场向设备导入的研究情景展开。该参数不是公司指引或已披露合同。Source: 当前 app/company/300700/data/presets.ts</x:t>
        </x:r>
      </x:text>
    </x:comment>
    <x:comment ref="I39" authorId="4">
      <x:text>
        <x:r>
          <x:t>[Threaded comment]
Your version of Excel allows you to read this threaded comment; however, any edits to it will get removed if the file is opened in a newer version of Excel. Learn more: https://go.microsoft.com/fwlink/?linkid=870924
Comment:
    惠州岱勒：上市公司持90%，伯恩持10%，纳入合并。Source: https://static.cninfo.com.cn/finalpage/2025-07-11/1224143572.PDF</x:t>
        </x:r>
      </x:text>
    </x:comment>
    <x:comment ref="I40" authorId="5">
      <x:text>
        <x:r>
          <x:t>[Threaded comment]
Your version of Excel allows you to read this threaded comment; however, any edits to it will get removed if the file is opened in a newer version of Excel. Learn more: https://go.microsoft.com/fwlink/?linkid=870924
Comment:
    捷泰（广州）：上市公司持51%，其他股东合计49%，纳入合并。Source: https://static.cninfo.com.cn/finalpage/2026-02-03/1224965309.PDF</x:t>
        </x:r>
      </x:text>
    </x:comment>
  </x:commentList>
</x:comments>
</file>

<file path=xl/comments3.xml><?xml version="1.0" encoding="utf-8"?>
<x:comments xmlns:x="http://schemas.openxmlformats.org/spreadsheetml/2006/main">
  <x:authors>
    <x:author>tc={E30D882A-D838-A200-304B-405F539C5E9D}</x:author>
  </x:authors>
  <x:commentList>
    <x:comment ref="B18" authorId="0">
      <x:text>
        <x:r>
          <x:t>[Threaded comment]
Your version of Excel allows you to read this threaded comment; however, any edits to it will get removed if the file is opened in a newer version of Excel. Learn more: https://go.microsoft.com/fwlink/?linkid=870924
Comment:
    Universe comparator source: https://static.cninfo.com.cn/finalpage/2026-04-29/1225245690.PDF</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17">
    <x:numFmt numFmtId="200" formatCode="#,##0.0"/>
    <x:numFmt numFmtId="201" formatCode="#,##0.0;[Red](#,##0.0)"/>
    <x:numFmt numFmtId="202" formatCode="0.000;[Red](0.000)"/>
    <x:numFmt numFmtId="203" formatCode="0.0%"/>
    <x:numFmt numFmtId="204" formatCode="0.00"/>
    <x:numFmt numFmtId="205" formatCode="0.0"/>
    <x:numFmt numFmtId="206" formatCode="0.00x"/>
    <x:numFmt numFmtId="207" formatCode="#,##0.000"/>
    <x:numFmt numFmtId="208" formatCode="0.000"/>
    <x:numFmt numFmtId="209" formatCode="0%"/>
    <x:numFmt numFmtId="210" formatCode="0.0x"/>
    <x:numFmt numFmtId="211" formatCode="0"/>
    <x:numFmt numFmtId="212" formatCode="#,##0.00"/>
    <x:numFmt numFmtId="213" formatCode="#,##0"/>
    <x:numFmt numFmtId="214" formatCode="#,##0.0000"/>
    <x:numFmt numFmtId="215" formatCode="#,##0.000000;[Red](#,##0.000000)"/>
    <x:numFmt numFmtId="216" formatCode="0.0000;[Red](0.0000)"/>
  </x:numFmts>
  <x:fonts count="19">
    <x:font>
      <x:sz val="11"/>
      <x:name val="Carlito"/>
    </x:font>
    <x:font>
      <x:b/>
      <x:sz val="18"/>
      <x:color rgb="FFFFFFFF"/>
      <x:name val="Carlito"/>
    </x:font>
    <x:font>
      <x:i/>
      <x:sz val="10"/>
      <x:color rgb="FF666666"/>
      <x:name val="Carlito"/>
    </x:font>
    <x:font>
      <x:b/>
      <x:sz val="11"/>
      <x:color rgb="FFFFFFFF"/>
      <x:name val="Carlito"/>
    </x:font>
    <x:font>
      <x:b/>
      <x:sz val="11"/>
      <x:color rgb="FFC00000"/>
      <x:name val="Carlito"/>
    </x:font>
    <x:font>
      <x:b/>
      <x:sz val="11"/>
      <x:name val="Carlito"/>
    </x:font>
    <x:font>
      <x:b/>
      <x:sz val="11"/>
      <x:color rgb="FF0000FF"/>
      <x:name val="Carlito"/>
    </x:font>
    <x:font>
      <x:b/>
      <x:sz val="11"/>
      <x:color rgb="FF17365D"/>
      <x:name val="Carlito"/>
    </x:font>
    <x:font>
      <x:sz val="11"/>
      <x:color rgb="FF008000"/>
      <x:name val="Carlito"/>
    </x:font>
    <x:font>
      <x:sz val="11"/>
      <x:color rgb="FF0000FF"/>
      <x:name val="Carlito"/>
    </x:font>
    <x:font>
      <x:sz val="11"/>
      <x:color rgb="FF000000"/>
      <x:name val="Carlito"/>
    </x:font>
    <x:font>
      <x:b/>
      <x:sz val="11"/>
      <x:color rgb="FF000000"/>
      <x:name val="Carlito"/>
    </x:font>
    <x:font>
      <x:sz val="11"/>
      <x:color rgb="FFC00000"/>
      <x:name val="Carlito"/>
    </x:font>
    <x:font>
      <x:b/>
      <x:sz val="11"/>
      <x:color rgb="FF008000"/>
      <x:name val="Carlito"/>
    </x:font>
    <x:font>
      <x:i/>
      <x:sz val="11"/>
      <x:color rgb="FFC00000"/>
      <x:name val="Carlito"/>
    </x:font>
    <x:font>
      <x:i/>
      <x:sz val="11"/>
      <x:color rgb="FF666666"/>
      <x:name val="Carlito"/>
    </x:font>
    <x:font>
      <x:sz val="10"/>
      <x:color rgb="FF666666"/>
      <x:name val="Carlito"/>
    </x:font>
    <x:font>
      <x:sz val="10"/>
      <x:color rgb="FFC00000"/>
      <x:name val="Carlito"/>
    </x:font>
    <x:font>
      <x:sz val="10"/>
      <x:color rgb="FF008000"/>
      <x:name val="Carlito"/>
    </x:font>
  </x:fonts>
  <x:fills count="17">
    <x:fill>
      <x:patternFill patternType="none"/>
    </x:fill>
    <x:fill>
      <x:patternFill patternType="gray125"/>
    </x:fill>
    <x:fill>
      <x:patternFill patternType="solid">
        <x:fgColor rgb="FF17365D"/>
      </x:patternFill>
    </x:fill>
    <x:fill>
      <x:patternFill patternType="solid">
        <x:fgColor rgb="FFEAF2F8"/>
      </x:patternFill>
    </x:fill>
    <x:fill>
      <x:patternFill patternType="solid">
        <x:fgColor rgb="FF1F4E78"/>
      </x:patternFill>
    </x:fill>
    <x:fill>
      <x:patternFill patternType="solid">
        <x:fgColor rgb="FFFFF2CC"/>
      </x:patternFill>
    </x:fill>
    <x:fill>
      <x:patternFill patternType="solid">
        <x:fgColor rgb="FFF2F2F2"/>
      </x:patternFill>
    </x:fill>
    <x:fill>
      <x:patternFill patternType="solid">
        <x:fgColor rgb="FFD9EAF7"/>
      </x:patternFill>
    </x:fill>
    <x:fill>
      <x:patternFill patternType="solid">
        <x:fgColor rgb="FF666666"/>
      </x:patternFill>
    </x:fill>
    <x:fill>
      <x:patternFill patternType="solid">
        <x:fgColor rgb="FFF4B183"/>
      </x:patternFill>
    </x:fill>
    <x:fill>
      <x:patternFill patternType="solid">
        <x:fgColor rgb="FFE2F0D9"/>
      </x:patternFill>
    </x:fill>
    <x:fill>
      <x:patternFill patternType="solid">
        <x:fgColor rgb="FF1F4E78"/>
      </x:patternFill>
    </x:fill>
    <x:fill>
      <x:patternFill patternType="solid">
        <x:fgColor rgb="FFD9EAF7"/>
      </x:patternFill>
    </x:fill>
    <x:fill>
      <x:patternFill patternType="solid">
        <x:fgColor rgb="FFEAF2F8"/>
      </x:patternFill>
    </x:fill>
    <x:fill>
      <x:patternFill patternType="solid">
        <x:fgColor rgb="FFFFF2CC"/>
      </x:patternFill>
    </x:fill>
    <x:fill>
      <x:patternFill patternType="solid">
        <x:fgColor rgb="FF17365D"/>
      </x:patternFill>
    </x:fill>
    <x:fill>
      <x:patternFill patternType="solid">
        <x:fgColor rgb="FFE2F0D9"/>
      </x:patternFill>
    </x:fill>
  </x:fills>
  <x:borders count="6">
    <x:border/>
    <x:border>
      <x:left style="thin">
        <x:color rgb="FFB4C6E7"/>
      </x:left>
      <x:right style="thin">
        <x:color rgb="FFB4C6E7"/>
      </x:right>
      <x:top style="thin">
        <x:color rgb="FFB4C6E7"/>
      </x:top>
      <x:bottom style="thin">
        <x:color rgb="FFB4C6E7"/>
      </x:bottom>
    </x:border>
    <x:border>
      <x:left style="thin">
        <x:color rgb="FFD9D9D9"/>
      </x:left>
      <x:right style="thin">
        <x:color rgb="FFD9D9D9"/>
      </x:right>
      <x:top style="thin">
        <x:color rgb="FFD9D9D9"/>
      </x:top>
      <x:bottom style="thin">
        <x:color rgb="FFD9D9D9"/>
      </x:bottom>
    </x:border>
    <x:border>
      <x:left style="thin">
        <x:color rgb="FFD9D9D9"/>
      </x:left>
      <x:right style="thin">
        <x:color rgb="FFD9D9D9"/>
      </x:right>
      <x:top style="thin">
        <x:color rgb="FFD9D9D9"/>
      </x:top>
      <x:bottom style="double">
        <x:color rgb="FF1F4E78"/>
      </x:bottom>
    </x:border>
    <x:border>
      <x:left style="thin">
        <x:color rgb="FF70AD47"/>
      </x:left>
      <x:right style="thin">
        <x:color rgb="FF70AD47"/>
      </x:right>
      <x:top style="thin">
        <x:color rgb="FF70AD47"/>
      </x:top>
      <x:bottom style="thin">
        <x:color rgb="FF70AD47"/>
      </x:bottom>
    </x:border>
    <x:border>
      <x:bottom style="double">
        <x:color rgb="FF70AD47"/>
      </x:bottom>
    </x:border>
  </x:borders>
  <x:cellStyleXfs count="1">
    <x:xf numFmtId="0" fontId="0" fillId="0" borderId="0"/>
  </x:cellStyleXfs>
  <x:cellXfs count="274">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vertical="center"/>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center" wrapText="1"/>
    </x:xf>
    <x:xf numFmtId="0" fontId="0" fillId="6" borderId="0" xfId="0" applyNumberFormat="1" applyFont="1" applyFill="1" applyBorder="1"/>
    <x:xf numFmtId="0" fontId="5" fillId="6" borderId="0" xfId="0" applyNumberFormat="1" applyFont="1" applyFill="1" applyBorder="1"/>
    <x:xf numFmtId="0" fontId="5" fillId="6" borderId="1" xfId="0" applyNumberFormat="1" applyFont="1" applyFill="1" applyBorder="1"/>
    <x:xf numFmtId="0" fontId="5" fillId="5" borderId="1" xfId="0" applyNumberFormat="1" applyFont="1" applyFill="1" applyBorder="1"/>
    <x:xf numFmtId="0" fontId="6" fillId="5" borderId="1" xfId="0" applyNumberFormat="1" applyFont="1" applyFill="1" applyBorder="1"/>
    <x:xf numFmtId="0" fontId="6" fillId="5" borderId="1" xfId="0" applyNumberFormat="1" applyFont="1" applyFill="1" applyBorder="1" applyAlignment="1">
      <x:alignment horizontal="center"/>
    </x:xf>
    <x:xf numFmtId="0" fontId="0" fillId="7" borderId="0" xfId="0" applyNumberFormat="1" applyFont="1" applyFill="1" applyBorder="1"/>
    <x:xf numFmtId="0" fontId="7" fillId="7" borderId="0" xfId="0" applyNumberFormat="1" applyFont="1" applyFill="1" applyBorder="1"/>
    <x:xf numFmtId="0" fontId="7" fillId="7" borderId="1" xfId="0" applyNumberFormat="1" applyFont="1" applyFill="1" applyBorder="1"/>
    <x:xf numFmtId="0" fontId="7" fillId="7" borderId="1" xfId="0" applyNumberFormat="1" applyFont="1" applyFill="1" applyBorder="1" applyAlignment="1">
      <x:alignment wrapText="1"/>
    </x:xf>
    <x:xf numFmtId="0" fontId="7" fillId="7" borderId="1" xfId="0" applyNumberFormat="1" applyFont="1" applyFill="1" applyBorder="1" applyAlignment="1">
      <x:alignment horizontal="center" wrapText="1"/>
    </x:xf>
    <x:xf numFmtId="0" fontId="7" fillId="7" borderId="1" xfId="0" applyNumberFormat="1" applyFont="1" applyFill="1" applyBorder="1" applyAlignment="1">
      <x:alignment horizontal="center" vertical="center" wrapText="1"/>
    </x:xf>
    <x:xf numFmtId="0" fontId="8" fillId="0" borderId="0" xfId="0" applyNumberFormat="1" applyFont="1" applyFill="1" applyBorder="1"/>
    <x:xf numFmtId="200" fontId="8" fillId="0" borderId="0" xfId="0" applyNumberFormat="1" applyFont="1" applyFill="1" applyBorder="1"/>
    <x:xf numFmtId="201" fontId="8" fillId="0" borderId="0" xfId="0" applyNumberFormat="1" applyFont="1" applyFill="1" applyBorder="1"/>
    <x:xf numFmtId="202" fontId="8" fillId="0" borderId="0" xfId="0" applyNumberFormat="1" applyFont="1" applyFill="1" applyBorder="1"/>
    <x:xf numFmtId="203" fontId="8" fillId="0" borderId="0" xfId="0" applyNumberFormat="1" applyFont="1" applyFill="1" applyBorder="1"/>
    <x:xf numFmtId="0" fontId="0" fillId="0" borderId="2" xfId="0" applyNumberFormat="1" applyFont="1" applyFill="1" applyBorder="1"/>
    <x:xf numFmtId="200" fontId="8" fillId="0" borderId="2" xfId="0" applyNumberFormat="1" applyFont="1" applyFill="1" applyBorder="1"/>
    <x:xf numFmtId="201" fontId="8" fillId="0" borderId="2" xfId="0" applyNumberFormat="1" applyFont="1" applyFill="1" applyBorder="1"/>
    <x:xf numFmtId="202" fontId="8" fillId="0" borderId="2" xfId="0" applyNumberFormat="1" applyFont="1" applyFill="1" applyBorder="1"/>
    <x:xf numFmtId="203" fontId="8" fillId="0" borderId="2" xfId="0" applyNumberFormat="1" applyFont="1" applyFill="1" applyBorder="1"/>
    <x:xf numFmtId="0" fontId="5" fillId="0" borderId="2" xfId="0" applyNumberFormat="1" applyFont="1" applyFill="1" applyBorder="1"/>
    <x:xf numFmtId="0" fontId="0" fillId="0" borderId="2"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4" borderId="2" xfId="0" applyNumberFormat="1" applyFont="1" applyFill="1" applyBorder="1" applyAlignment="1">
      <x:alignment vertical="top" wrapText="1"/>
    </x:xf>
    <x:xf numFmtId="0" fontId="3" fillId="4" borderId="2" xfId="0" applyNumberFormat="1" applyFont="1" applyFill="1" applyBorder="1" applyAlignment="1">
      <x:alignment vertical="top" wrapText="1"/>
    </x:xf>
    <x:xf numFmtId="0" fontId="3" fillId="4" borderId="2" xfId="0" applyNumberFormat="1" applyFont="1" applyFill="1" applyBorder="1" applyAlignment="1">
      <x:alignment horizontal="center" vertical="top" wrapText="1"/>
    </x:xf>
    <x:xf numFmtId="0" fontId="0" fillId="3" borderId="2" xfId="0" applyNumberFormat="1" applyFont="1" applyFill="1" applyBorder="1" applyAlignment="1">
      <x:alignment vertical="top" wrapText="1"/>
    </x:xf>
    <x:xf numFmtId="0" fontId="7" fillId="3" borderId="2" xfId="0" applyNumberFormat="1" applyFont="1" applyFill="1" applyBorder="1" applyAlignment="1">
      <x:alignment vertical="top" wrapText="1"/>
    </x:xf>
    <x:xf numFmtId="200" fontId="0" fillId="0" borderId="0" xfId="0" applyNumberFormat="1" applyFont="1" applyFill="1" applyBorder="1"/>
    <x:xf numFmtId="0" fontId="9" fillId="0" borderId="0" xfId="0" applyNumberFormat="1" applyFont="1" applyFill="1" applyBorder="1"/>
    <x:xf numFmtId="0" fontId="10" fillId="0" borderId="0" xfId="0" applyNumberFormat="1" applyFont="1" applyFill="1" applyBorder="1"/>
    <x:xf numFmtId="200" fontId="9" fillId="0" borderId="0" xfId="0" applyNumberFormat="1" applyFont="1" applyFill="1" applyBorder="1"/>
    <x:xf numFmtId="200" fontId="10" fillId="0" borderId="0" xfId="0" applyNumberFormat="1" applyFont="1" applyFill="1" applyBorder="1"/>
    <x:xf numFmtId="203" fontId="9" fillId="0" borderId="0" xfId="0" applyNumberFormat="1" applyFont="1" applyFill="1" applyBorder="1"/>
    <x:xf numFmtId="201" fontId="9" fillId="0" borderId="0" xfId="0" applyNumberFormat="1" applyFont="1" applyFill="1" applyBorder="1"/>
    <x:xf numFmtId="203" fontId="10" fillId="0" borderId="0" xfId="0" applyNumberFormat="1" applyFont="1" applyFill="1" applyBorder="1"/>
    <x:xf numFmtId="200" fontId="9" fillId="0" borderId="2" xfId="0" applyNumberFormat="1" applyFont="1" applyFill="1" applyBorder="1"/>
    <x:xf numFmtId="200" fontId="10" fillId="0" borderId="2" xfId="0" applyNumberFormat="1" applyFont="1" applyFill="1" applyBorder="1"/>
    <x:xf numFmtId="203" fontId="9" fillId="0" borderId="2" xfId="0" applyNumberFormat="1" applyFont="1" applyFill="1" applyBorder="1"/>
    <x:xf numFmtId="201" fontId="9" fillId="0" borderId="2" xfId="0" applyNumberFormat="1" applyFont="1" applyFill="1" applyBorder="1"/>
    <x:xf numFmtId="203" fontId="10" fillId="0" borderId="2" xfId="0" applyNumberFormat="1" applyFont="1" applyFill="1" applyBorder="1"/>
    <x:xf numFmtId="203" fontId="0" fillId="0" borderId="2" xfId="0" applyNumberFormat="1" applyFont="1" applyFill="1" applyBorder="1" applyAlignment="1">
      <x:alignment wrapText="1"/>
    </x:xf>
    <x:xf numFmtId="201" fontId="10" fillId="0" borderId="0" xfId="0" applyNumberFormat="1" applyFont="1" applyFill="1" applyBorder="1"/>
    <x:xf numFmtId="201" fontId="10" fillId="0" borderId="2" xfId="0" applyNumberFormat="1" applyFont="1" applyFill="1" applyBorder="1"/>
    <x:xf numFmtId="0" fontId="0" fillId="6" borderId="2" xfId="0" applyNumberFormat="1" applyFont="1" applyFill="1" applyBorder="1"/>
    <x:xf numFmtId="201" fontId="9" fillId="6" borderId="2" xfId="0" applyNumberFormat="1" applyFont="1" applyFill="1" applyBorder="1"/>
    <x:xf numFmtId="201" fontId="10" fillId="6" borderId="2" xfId="0" applyNumberFormat="1" applyFont="1" applyFill="1" applyBorder="1"/>
    <x:xf numFmtId="203" fontId="10" fillId="6" borderId="2" xfId="0" applyNumberFormat="1" applyFont="1" applyFill="1" applyBorder="1"/>
    <x:xf numFmtId="0" fontId="5" fillId="6" borderId="2" xfId="0" applyNumberFormat="1" applyFont="1" applyFill="1" applyBorder="1"/>
    <x:xf numFmtId="201" fontId="6" fillId="6" borderId="2" xfId="0" applyNumberFormat="1" applyFont="1" applyFill="1" applyBorder="1"/>
    <x:xf numFmtId="201" fontId="11" fillId="6" borderId="2" xfId="0" applyNumberFormat="1" applyFont="1" applyFill="1" applyBorder="1"/>
    <x:xf numFmtId="203" fontId="11" fillId="6" borderId="2" xfId="0" applyNumberFormat="1" applyFont="1" applyFill="1" applyBorder="1"/>
    <x:xf numFmtId="0" fontId="5" fillId="6" borderId="3" xfId="0" applyNumberFormat="1" applyFont="1" applyFill="1" applyBorder="1"/>
    <x:xf numFmtId="201" fontId="6" fillId="6" borderId="3" xfId="0" applyNumberFormat="1" applyFont="1" applyFill="1" applyBorder="1"/>
    <x:xf numFmtId="201" fontId="11" fillId="6" borderId="3" xfId="0" applyNumberFormat="1" applyFont="1" applyFill="1" applyBorder="1"/>
    <x:xf numFmtId="203" fontId="11" fillId="6" borderId="3" xfId="0" applyNumberFormat="1" applyFont="1" applyFill="1" applyBorder="1"/>
    <x:xf numFmtId="204" fontId="9" fillId="0" borderId="0" xfId="0" applyNumberFormat="1" applyFont="1" applyFill="1" applyBorder="1"/>
    <x:xf numFmtId="204" fontId="10" fillId="0" borderId="0" xfId="0" applyNumberFormat="1" applyFont="1" applyFill="1" applyBorder="1"/>
    <x:xf numFmtId="204" fontId="9" fillId="0" borderId="2" xfId="0" applyNumberFormat="1" applyFont="1" applyFill="1" applyBorder="1"/>
    <x:xf numFmtId="204" fontId="10" fillId="0" borderId="2" xfId="0" applyNumberFormat="1" applyFont="1" applyFill="1" applyBorder="1"/>
    <x:xf numFmtId="0" fontId="12" fillId="5" borderId="0" xfId="0" applyNumberFormat="1" applyFont="1" applyFill="1" applyBorder="1"/>
    <x:xf numFmtId="0" fontId="12" fillId="5" borderId="0" xfId="0" applyNumberFormat="1" applyFont="1" applyFill="1" applyBorder="1" applyAlignment="1">
      <x:alignment wrapText="1"/>
    </x:xf>
    <x:xf numFmtId="0" fontId="12" fillId="5" borderId="0" xfId="0" applyNumberFormat="1" applyFont="1" applyFill="1" applyBorder="1" applyAlignment="1">
      <x:alignment vertical="top" wrapText="1"/>
    </x:xf>
    <x:xf numFmtId="0" fontId="0" fillId="3" borderId="0" xfId="0" applyNumberFormat="1" applyFont="1" applyFill="1" applyBorder="1" applyAlignment="1">
      <x:alignment wrapText="1"/>
    </x:xf>
    <x:xf numFmtId="0" fontId="0" fillId="3" borderId="0" xfId="0" applyNumberFormat="1" applyFont="1" applyFill="1" applyBorder="1" applyAlignment="1">
      <x:alignment vertical="top" wrapText="1"/>
    </x:xf>
    <x:xf numFmtId="0" fontId="0" fillId="8" borderId="0" xfId="0" applyNumberFormat="1" applyFont="1" applyFill="1" applyBorder="1"/>
    <x:xf numFmtId="0" fontId="3" fillId="8" borderId="0" xfId="0" applyNumberFormat="1" applyFont="1" applyFill="1" applyBorder="1"/>
    <x:xf numFmtId="0" fontId="3" fillId="8" borderId="0" xfId="0" applyNumberFormat="1" applyFont="1" applyFill="1" applyBorder="1" applyAlignment="1">
      <x:alignment horizontal="center"/>
    </x:xf>
    <x:xf numFmtId="205" fontId="9" fillId="0" borderId="0" xfId="0" applyNumberFormat="1" applyFont="1" applyFill="1" applyBorder="1"/>
    <x:xf numFmtId="206" fontId="9" fillId="0" borderId="0" xfId="0" applyNumberFormat="1" applyFont="1" applyFill="1" applyBorder="1"/>
    <x:xf numFmtId="207" fontId="9" fillId="0" borderId="0" xfId="0" applyNumberFormat="1" applyFont="1" applyFill="1" applyBorder="1"/>
    <x:xf numFmtId="0" fontId="7" fillId="7" borderId="2" xfId="0" applyNumberFormat="1" applyFont="1" applyFill="1" applyBorder="1" applyAlignment="1">
      <x:alignment horizontal="center" vertical="center" wrapText="1"/>
    </x:xf>
    <x:xf numFmtId="205" fontId="9" fillId="0" borderId="2" xfId="0" applyNumberFormat="1" applyFont="1" applyFill="1" applyBorder="1"/>
    <x:xf numFmtId="206" fontId="9" fillId="0" borderId="2" xfId="0" applyNumberFormat="1" applyFont="1" applyFill="1" applyBorder="1"/>
    <x:xf numFmtId="207" fontId="9" fillId="0" borderId="2" xfId="0" applyNumberFormat="1" applyFont="1" applyFill="1" applyBorder="1"/>
    <x:xf numFmtId="0" fontId="3" fillId="4" borderId="0" xfId="0" applyNumberFormat="1" applyFont="1" applyFill="1" applyBorder="1" applyAlignment="1">
      <x:alignment horizontal="center"/>
    </x:xf>
    <x:xf numFmtId="0" fontId="0" fillId="9" borderId="0" xfId="0" applyNumberFormat="1" applyFont="1" applyFill="1" applyBorder="1"/>
    <x:xf numFmtId="0" fontId="3" fillId="9" borderId="0" xfId="0" applyNumberFormat="1" applyFont="1" applyFill="1" applyBorder="1"/>
    <x:xf numFmtId="0" fontId="3" fillId="9" borderId="0" xfId="0" applyNumberFormat="1" applyFont="1" applyFill="1" applyBorder="1" applyAlignment="1">
      <x:alignment horizontal="center"/>
    </x:xf>
    <x:xf numFmtId="0" fontId="7" fillId="6" borderId="0" xfId="0" applyNumberFormat="1" applyFont="1" applyFill="1" applyBorder="1"/>
    <x:xf numFmtId="0" fontId="13" fillId="6" borderId="0" xfId="0" applyNumberFormat="1" applyFont="1" applyFill="1" applyBorder="1"/>
    <x:xf numFmtId="201" fontId="13" fillId="6" borderId="0" xfId="0" applyNumberFormat="1" applyFont="1" applyFill="1" applyBorder="1"/>
    <x:xf numFmtId="208" fontId="8" fillId="0" borderId="0" xfId="0" applyNumberFormat="1" applyFont="1" applyFill="1" applyBorder="1"/>
    <x:xf numFmtId="208" fontId="8" fillId="0" borderId="2" xfId="0" applyNumberFormat="1" applyFont="1" applyFill="1" applyBorder="1"/>
    <x:xf numFmtId="0" fontId="0" fillId="3" borderId="2" xfId="0" applyNumberFormat="1" applyFont="1" applyFill="1" applyBorder="1"/>
    <x:xf numFmtId="201" fontId="8" fillId="3" borderId="2" xfId="0" applyNumberFormat="1" applyFont="1" applyFill="1" applyBorder="1"/>
    <x:xf numFmtId="0" fontId="7" fillId="3" borderId="2" xfId="0" applyNumberFormat="1" applyFont="1" applyFill="1" applyBorder="1"/>
    <x:xf numFmtId="201" fontId="7" fillId="3" borderId="2" xfId="0" applyNumberFormat="1" applyFont="1" applyFill="1" applyBorder="1"/>
    <x:xf numFmtId="0" fontId="7" fillId="3" borderId="3" xfId="0" applyNumberFormat="1" applyFont="1" applyFill="1" applyBorder="1"/>
    <x:xf numFmtId="201" fontId="7" fillId="3" borderId="3" xfId="0" applyNumberFormat="1" applyFont="1" applyFill="1" applyBorder="1"/>
    <x:xf numFmtId="203" fontId="8" fillId="3" borderId="2" xfId="0" applyNumberFormat="1" applyFont="1" applyFill="1" applyBorder="1"/>
    <x:xf numFmtId="0" fontId="0" fillId="10" borderId="2" xfId="0" applyNumberFormat="1" applyFont="1" applyFill="1" applyBorder="1"/>
    <x:xf numFmtId="201" fontId="8" fillId="10" borderId="2" xfId="0" applyNumberFormat="1" applyFont="1" applyFill="1" applyBorder="1"/>
    <x:xf numFmtId="202" fontId="8" fillId="10" borderId="2" xfId="0" applyNumberFormat="1" applyFont="1" applyFill="1" applyBorder="1"/>
    <x:xf numFmtId="0" fontId="7" fillId="10" borderId="2" xfId="0" applyNumberFormat="1" applyFont="1" applyFill="1" applyBorder="1"/>
    <x:xf numFmtId="201" fontId="7" fillId="10" borderId="2" xfId="0" applyNumberFormat="1" applyFont="1" applyFill="1" applyBorder="1"/>
    <x:xf numFmtId="202" fontId="7" fillId="10" borderId="2" xfId="0" applyNumberFormat="1" applyFont="1" applyFill="1" applyBorder="1"/>
    <x:xf numFmtId="0" fontId="7" fillId="10" borderId="4" xfId="0" applyNumberFormat="1" applyFont="1" applyFill="1" applyBorder="1"/>
    <x:xf numFmtId="201" fontId="7" fillId="10" borderId="4" xfId="0" applyNumberFormat="1" applyFont="1" applyFill="1" applyBorder="1"/>
    <x:xf numFmtId="202" fontId="7" fillId="10" borderId="4" xfId="0" applyNumberFormat="1" applyFont="1" applyFill="1" applyBorder="1"/>
    <x:xf numFmtId="0" fontId="14" fillId="0" borderId="0" xfId="0" applyNumberFormat="1" applyFont="1" applyFill="1" applyBorder="1"/>
    <x:xf numFmtId="205" fontId="8" fillId="0" borderId="0" xfId="0" applyNumberFormat="1" applyFont="1" applyFill="1" applyBorder="1"/>
    <x:xf numFmtId="206" fontId="8" fillId="0" borderId="0" xfId="0" applyNumberFormat="1" applyFont="1" applyFill="1" applyBorder="1"/>
    <x:xf numFmtId="204" fontId="8" fillId="0" borderId="0" xfId="0" applyNumberFormat="1" applyFont="1" applyFill="1" applyBorder="1"/>
    <x:xf numFmtId="205" fontId="8" fillId="0" borderId="2" xfId="0" applyNumberFormat="1" applyFont="1" applyFill="1" applyBorder="1"/>
    <x:xf numFmtId="206" fontId="8" fillId="0" borderId="2" xfId="0" applyNumberFormat="1" applyFont="1" applyFill="1" applyBorder="1"/>
    <x:xf numFmtId="204" fontId="8" fillId="0" borderId="2" xfId="0" applyNumberFormat="1" applyFont="1" applyFill="1" applyBorder="1"/>
    <x:xf numFmtId="0" fontId="14" fillId="0" borderId="2" xfId="0" applyNumberFormat="1" applyFont="1" applyFill="1" applyBorder="1"/>
    <x:xf numFmtId="0" fontId="0" fillId="6" borderId="0" xfId="0" applyNumberFormat="1" applyFont="1" applyFill="1" applyBorder="1" applyAlignment="1">
      <x:alignment wrapText="1"/>
    </x:xf>
    <x:xf numFmtId="0" fontId="0" fillId="6" borderId="0" xfId="0" applyNumberFormat="1" applyFont="1" applyFill="1" applyBorder="1" applyAlignment="1">
      <x:alignment vertical="top" wrapText="1"/>
    </x:xf>
    <x:xf numFmtId="0" fontId="6" fillId="5" borderId="0" xfId="0" applyNumberFormat="1" applyFont="1" applyFill="1" applyBorder="1"/>
    <x:xf numFmtId="203" fontId="6" fillId="5" borderId="1" xfId="0" applyNumberFormat="1" applyFont="1" applyFill="1" applyBorder="1"/>
    <x:xf numFmtId="203" fontId="5" fillId="6" borderId="1" xfId="0" applyNumberFormat="1" applyFont="1" applyFill="1" applyBorder="1"/>
    <x:xf numFmtId="201" fontId="0" fillId="0" borderId="0" xfId="0" applyNumberFormat="1" applyFont="1" applyFill="1" applyBorder="1"/>
    <x:xf numFmtId="202" fontId="0" fillId="0" borderId="0" xfId="0" applyNumberFormat="1" applyFont="1" applyFill="1" applyBorder="1"/>
    <x:xf numFmtId="209" fontId="0" fillId="0" borderId="0" xfId="0" applyNumberFormat="1" applyFont="1" applyFill="1" applyBorder="1"/>
    <x:xf numFmtId="209" fontId="0" fillId="7" borderId="0" xfId="0" applyNumberFormat="1" applyFont="1" applyFill="1" applyBorder="1"/>
    <x:xf numFmtId="209" fontId="7" fillId="7" borderId="0" xfId="0" applyNumberFormat="1" applyFont="1" applyFill="1" applyBorder="1"/>
    <x:xf numFmtId="209" fontId="7" fillId="7" borderId="1" xfId="0" applyNumberFormat="1" applyFont="1" applyFill="1" applyBorder="1"/>
    <x:xf numFmtId="209" fontId="7" fillId="7" borderId="1" xfId="0" applyNumberFormat="1" applyFont="1" applyFill="1" applyBorder="1" applyAlignment="1">
      <x:alignment wrapText="1"/>
    </x:xf>
    <x:xf numFmtId="209" fontId="7" fillId="7" borderId="1" xfId="0" applyNumberFormat="1" applyFont="1" applyFill="1" applyBorder="1" applyAlignment="1">
      <x:alignment horizontal="center" wrapText="1"/>
    </x:xf>
    <x:xf numFmtId="209" fontId="7" fillId="7" borderId="1" xfId="0" applyNumberFormat="1" applyFont="1" applyFill="1" applyBorder="1" applyAlignment="1">
      <x:alignment horizontal="center" vertical="center" wrapText="1"/>
    </x:xf>
    <x:xf numFmtId="209" fontId="7" fillId="7" borderId="1" xfId="0" applyNumberFormat="1" applyFont="1" applyFill="1" applyBorder="1" applyAlignment="1">
      <x:alignment horizontal="center"/>
    </x:xf>
    <x:xf numFmtId="0" fontId="0" fillId="10" borderId="0" xfId="0" applyNumberFormat="1" applyFont="1" applyFill="1" applyBorder="1"/>
    <x:xf numFmtId="0" fontId="7" fillId="10" borderId="0" xfId="0" applyNumberFormat="1" applyFont="1" applyFill="1" applyBorder="1"/>
    <x:xf numFmtId="0" fontId="7" fillId="10" borderId="5" xfId="0" applyNumberFormat="1" applyFont="1" applyFill="1" applyBorder="1"/>
    <x:xf numFmtId="201" fontId="7" fillId="10" borderId="5" xfId="0" applyNumberFormat="1" applyFont="1" applyFill="1" applyBorder="1"/>
    <x:xf numFmtId="210" fontId="0" fillId="0" borderId="0" xfId="0" applyNumberFormat="1" applyFont="1" applyFill="1" applyBorder="1"/>
    <x:xf numFmtId="200" fontId="7" fillId="10" borderId="5" xfId="0" applyNumberFormat="1" applyFont="1" applyFill="1" applyBorder="1"/>
    <x:xf numFmtId="211" fontId="0" fillId="0" borderId="0" xfId="0" applyNumberFormat="1" applyFont="1" applyFill="1" applyBorder="1"/>
    <x:xf numFmtId="203" fontId="0" fillId="0" borderId="0" xfId="0" applyNumberFormat="1" applyFont="1" applyFill="1" applyBorder="1"/>
    <x:xf numFmtId="201" fontId="13" fillId="10" borderId="5" xfId="0" applyNumberFormat="1" applyFont="1" applyFill="1" applyBorder="1"/>
    <x:xf numFmtId="210" fontId="9" fillId="0" borderId="0" xfId="0" applyNumberFormat="1" applyFont="1" applyFill="1" applyBorder="1"/>
    <x:xf numFmtId="211" fontId="9" fillId="0" borderId="0" xfId="0" applyNumberFormat="1" applyFont="1" applyFill="1" applyBorder="1"/>
    <x:xf numFmtId="200" fontId="11" fillId="10" borderId="5" xfId="0" applyNumberFormat="1" applyFont="1" applyFill="1" applyBorder="1"/>
    <x:xf numFmtId="210" fontId="9" fillId="0" borderId="2" xfId="0" applyNumberFormat="1" applyFont="1" applyFill="1" applyBorder="1"/>
    <x:xf numFmtId="211" fontId="9" fillId="0" borderId="2" xfId="0" applyNumberFormat="1" applyFont="1" applyFill="1" applyBorder="1"/>
    <x:xf numFmtId="212" fontId="0" fillId="0" borderId="0" xfId="0" applyNumberFormat="1" applyFont="1" applyFill="1" applyBorder="1"/>
    <x:xf numFmtId="212" fontId="13" fillId="0" borderId="0" xfId="0" applyNumberFormat="1" applyFont="1" applyFill="1" applyBorder="1"/>
    <x:xf numFmtId="212" fontId="13" fillId="0" borderId="2" xfId="0" applyNumberFormat="1" applyFont="1" applyFill="1" applyBorder="1"/>
    <x:xf numFmtId="0" fontId="0" fillId="0" borderId="0" xfId="0" applyNumberFormat="1" applyFont="1" applyFill="1" applyBorder="1" applyAlignment="1">
      <x:alignment wrapText="1"/>
    </x:xf>
    <x:xf numFmtId="212" fontId="0" fillId="0" borderId="0" xfId="0" applyNumberFormat="1" applyFont="1" applyFill="1" applyBorder="1" applyAlignment="1">
      <x:alignment wrapText="1"/>
    </x:xf>
    <x:xf numFmtId="203" fontId="0" fillId="0" borderId="0" xfId="0" applyNumberFormat="1" applyFont="1" applyFill="1" applyBorder="1" applyAlignment="1">
      <x:alignment wrapText="1"/>
    </x:xf>
    <x:xf numFmtId="210" fontId="0" fillId="0" borderId="0" xfId="0" applyNumberFormat="1" applyFont="1" applyFill="1" applyBorder="1" applyAlignment="1">
      <x:alignment wrapText="1"/>
    </x:xf>
    <x:xf numFmtId="0" fontId="8" fillId="0" borderId="0" xfId="0" applyNumberFormat="1" applyFont="1" applyFill="1" applyBorder="1" applyAlignment="1">
      <x:alignment wrapText="1"/>
    </x:xf>
    <x:xf numFmtId="212" fontId="0" fillId="0" borderId="2" xfId="0" applyNumberFormat="1" applyFont="1" applyFill="1" applyBorder="1" applyAlignment="1">
      <x:alignment wrapText="1"/>
    </x:xf>
    <x:xf numFmtId="210" fontId="0" fillId="0" borderId="2" xfId="0" applyNumberFormat="1" applyFont="1" applyFill="1" applyBorder="1" applyAlignment="1">
      <x:alignment wrapText="1"/>
    </x:xf>
    <x:xf numFmtId="0" fontId="8" fillId="0" borderId="2" xfId="0" applyNumberFormat="1" applyFont="1" applyFill="1" applyBorder="1" applyAlignment="1">
      <x:alignment wrapText="1"/>
    </x:xf>
    <x:xf numFmtId="200" fontId="0" fillId="0" borderId="2" xfId="0" applyNumberFormat="1" applyFont="1" applyFill="1" applyBorder="1"/>
    <x:xf numFmtId="203" fontId="0" fillId="0" borderId="2" xfId="0" applyNumberFormat="1" applyFont="1" applyFill="1" applyBorder="1"/>
    <x:xf numFmtId="0" fontId="8" fillId="3" borderId="0" xfId="0" applyNumberFormat="1" applyFont="1" applyFill="1" applyBorder="1"/>
    <x:xf numFmtId="0" fontId="8" fillId="3" borderId="0" xfId="0" applyNumberFormat="1" applyFont="1" applyFill="1" applyBorder="1" applyAlignment="1">
      <x:alignment wrapText="1"/>
    </x:xf>
    <x:xf numFmtId="0" fontId="8" fillId="3" borderId="0" xfId="0" applyNumberFormat="1" applyFont="1" applyFill="1" applyBorder="1" applyAlignment="1">
      <x:alignment vertical="center" wrapText="1"/>
    </x:xf>
    <x:xf numFmtId="210" fontId="0" fillId="0" borderId="2" xfId="0" applyNumberFormat="1" applyFont="1" applyFill="1" applyBorder="1"/>
    <x:xf numFmtId="0" fontId="0" fillId="5" borderId="1" xfId="0" applyNumberFormat="1" applyFont="1" applyFill="1" applyBorder="1"/>
    <x:xf numFmtId="0" fontId="0" fillId="5" borderId="1" xfId="0" applyNumberFormat="1" applyFont="1" applyFill="1" applyBorder="1" applyAlignment="1">
      <x:alignment wrapText="1"/>
    </x:xf>
    <x:xf numFmtId="0" fontId="0" fillId="5" borderId="1" xfId="0" applyNumberFormat="1" applyFont="1" applyFill="1" applyBorder="1" applyAlignment="1">
      <x:alignment vertical="top" wrapText="1"/>
    </x:xf>
    <x:xf numFmtId="0" fontId="8" fillId="0" borderId="2" xfId="0" applyNumberFormat="1" applyFont="1" applyFill="1" applyBorder="1" applyAlignment="1">
      <x:alignment vertical="top" wrapText="1"/>
    </x:xf>
    <x:xf numFmtId="200" fontId="0" fillId="0" borderId="2" xfId="0" applyNumberFormat="1" applyFont="1" applyFill="1" applyBorder="1" applyAlignment="1">
      <x:alignment wrapText="1"/>
    </x:xf>
    <x:xf numFmtId="200" fontId="0" fillId="0" borderId="2" xfId="0" applyNumberFormat="1" applyFont="1" applyFill="1" applyBorder="1" applyAlignment="1">
      <x:alignment vertical="top" wrapText="1"/>
    </x:xf>
    <x:xf numFmtId="203" fontId="0" fillId="0" borderId="2" xfId="0" applyNumberFormat="1" applyFont="1" applyFill="1" applyBorder="1" applyAlignment="1">
      <x:alignment vertical="top" wrapText="1"/>
    </x:xf>
    <x:xf numFmtId="213" fontId="0" fillId="0" borderId="0" xfId="0" applyNumberFormat="1" applyFont="1" applyFill="1" applyBorder="1"/>
    <x:xf numFmtId="206" fontId="0" fillId="0" borderId="0" xfId="0" applyNumberFormat="1" applyFont="1" applyFill="1" applyBorder="1"/>
    <x:xf numFmtId="213" fontId="9" fillId="0" borderId="0" xfId="0" applyNumberFormat="1" applyFont="1" applyFill="1" applyBorder="1"/>
    <x:xf numFmtId="213" fontId="9" fillId="0" borderId="2" xfId="0" applyNumberFormat="1" applyFont="1" applyFill="1" applyBorder="1"/>
    <x:xf numFmtId="0" fontId="0" fillId="5" borderId="0" xfId="0" applyNumberFormat="1" applyFont="1" applyFill="1" applyBorder="1" applyAlignment="1">
      <x:alignment wrapText="1"/>
    </x:xf>
    <x:xf numFmtId="0" fontId="0" fillId="5" borderId="0" xfId="0" applyNumberFormat="1" applyFont="1" applyFill="1" applyBorder="1" applyAlignment="1">
      <x:alignment vertical="top" wrapText="1"/>
    </x:xf>
    <x:xf numFmtId="214" fontId="0" fillId="0" borderId="0" xfId="0" applyNumberFormat="1" applyFont="1" applyFill="1" applyBorder="1"/>
    <x:xf numFmtId="214" fontId="13" fillId="0" borderId="0" xfId="0" applyNumberFormat="1" applyFont="1" applyFill="1" applyBorder="1"/>
    <x:xf numFmtId="214" fontId="13" fillId="10" borderId="0" xfId="0" applyNumberFormat="1" applyFont="1" applyFill="1" applyBorder="1"/>
    <x:xf numFmtId="214" fontId="7" fillId="10" borderId="0" xfId="0" applyNumberFormat="1" applyFont="1" applyFill="1" applyBorder="1"/>
    <x:xf numFmtId="214" fontId="7" fillId="10" borderId="4" xfId="0" applyNumberFormat="1" applyFont="1" applyFill="1" applyBorder="1"/>
    <x:xf numFmtId="214" fontId="13" fillId="0" borderId="2" xfId="0" applyNumberFormat="1" applyFont="1" applyFill="1" applyBorder="1"/>
    <x:xf numFmtId="205" fontId="0" fillId="0" borderId="2" xfId="0" applyNumberFormat="1" applyFont="1" applyFill="1" applyBorder="1" applyAlignment="1">
      <x:alignment vertical="top" wrapText="1"/>
    </x:xf>
    <x:xf numFmtId="215" fontId="0" fillId="0" borderId="0" xfId="0" applyNumberFormat="1" applyFont="1" applyFill="1" applyBorder="1"/>
    <x:xf numFmtId="215" fontId="8" fillId="0" borderId="0" xfId="0" applyNumberFormat="1" applyFont="1" applyFill="1" applyBorder="1"/>
    <x:xf numFmtId="215" fontId="0" fillId="0" borderId="2" xfId="0" applyNumberFormat="1" applyFont="1" applyFill="1" applyBorder="1"/>
    <x:xf numFmtId="215" fontId="8" fillId="0" borderId="2" xfId="0" applyNumberFormat="1" applyFont="1" applyFill="1" applyBorder="1"/>
    <x:xf numFmtId="0" fontId="8" fillId="0" borderId="2" xfId="0" applyNumberFormat="1" applyFont="1" applyFill="1" applyBorder="1"/>
    <x:xf numFmtId="216" fontId="8" fillId="0" borderId="0" xfId="0" applyNumberFormat="1" applyFont="1" applyFill="1" applyBorder="1"/>
    <x:xf numFmtId="216" fontId="9" fillId="0" borderId="0" xfId="0" applyNumberFormat="1" applyFont="1" applyFill="1" applyBorder="1"/>
    <x:xf numFmtId="216" fontId="10" fillId="0" borderId="0" xfId="0" applyNumberFormat="1" applyFont="1" applyFill="1" applyBorder="1"/>
    <x:xf numFmtId="216" fontId="8" fillId="0" borderId="2" xfId="0" applyNumberFormat="1" applyFont="1" applyFill="1" applyBorder="1"/>
    <x:xf numFmtId="216" fontId="9" fillId="0" borderId="2" xfId="0" applyNumberFormat="1" applyFont="1" applyFill="1" applyBorder="1"/>
    <x:xf numFmtId="216" fontId="10" fillId="0" borderId="2" xfId="0" applyNumberFormat="1" applyFont="1" applyFill="1" applyBorder="1"/>
    <x:xf numFmtId="0" fontId="7" fillId="0" borderId="2" xfId="0" applyNumberFormat="1" applyFont="1" applyFill="1" applyBorder="1" applyAlignment="1">
      <x:alignment vertical="top" wrapText="1"/>
    </x:xf>
    <x:xf numFmtId="0" fontId="15" fillId="6" borderId="0" xfId="0" applyNumberFormat="1" applyFont="1" applyFill="1" applyBorder="1"/>
    <x:xf numFmtId="0" fontId="15" fillId="6" borderId="0" xfId="0" applyNumberFormat="1" applyFont="1" applyFill="1" applyBorder="1" applyAlignment="1">
      <x:alignment horizontal="center"/>
    </x:xf>
    <x:xf numFmtId="203" fontId="7" fillId="10" borderId="5" xfId="0" applyNumberFormat="1" applyFont="1" applyFill="1" applyBorder="1"/>
    <x:xf numFmtId="210" fontId="7" fillId="10" borderId="5" xfId="0" applyNumberFormat="1" applyFont="1" applyFill="1" applyBorder="1"/>
    <x:xf numFmtId="211" fontId="7" fillId="10" borderId="5" xfId="0" applyNumberFormat="1" applyFont="1" applyFill="1" applyBorder="1"/>
    <x:xf numFmtId="0" fontId="0" fillId="11" borderId="0" xfId="0" applyNumberFormat="1" applyFont="1" applyFill="1" applyBorder="1"/>
    <x:xf numFmtId="0" fontId="3" fillId="11" borderId="0" xfId="0" applyNumberFormat="1" applyFont="1" applyFill="1" applyBorder="1"/>
    <x:xf numFmtId="0" fontId="3" fillId="11" borderId="0" xfId="0" applyNumberFormat="1" applyFont="1" applyFill="1" applyBorder="1" applyAlignment="1">
      <x:alignment vertical="center"/>
    </x:xf>
    <x:xf numFmtId="0" fontId="0" fillId="12" borderId="0" xfId="0" applyNumberFormat="1" applyFont="1" applyFill="1" applyBorder="1"/>
    <x:xf numFmtId="0" fontId="7" fillId="12" borderId="0" xfId="0" applyNumberFormat="1" applyFont="1" applyFill="1" applyBorder="1"/>
    <x:xf numFmtId="0" fontId="7" fillId="12" borderId="1" xfId="0" applyNumberFormat="1" applyFont="1" applyFill="1" applyBorder="1"/>
    <x:xf numFmtId="0" fontId="7" fillId="12" borderId="1" xfId="0" applyNumberFormat="1" applyFont="1" applyFill="1" applyBorder="1" applyAlignment="1">
      <x:alignment wrapText="1"/>
    </x:xf>
    <x:xf numFmtId="0" fontId="7" fillId="12" borderId="1" xfId="0" applyNumberFormat="1" applyFont="1" applyFill="1" applyBorder="1" applyAlignment="1">
      <x:alignment horizontal="center" wrapText="1"/>
    </x:xf>
    <x:xf numFmtId="0" fontId="7" fillId="12" borderId="1" xfId="0" applyNumberFormat="1" applyFont="1" applyFill="1" applyBorder="1" applyAlignment="1">
      <x:alignment horizontal="center" vertical="center" wrapText="1"/>
    </x:xf>
    <x:xf numFmtId="0" fontId="10" fillId="0" borderId="2" xfId="0" applyNumberFormat="1" applyFont="1" applyFill="1" applyBorder="1"/>
    <x:xf numFmtId="0" fontId="10" fillId="0" borderId="2" xfId="0" applyNumberFormat="1" applyFont="1" applyFill="1" applyBorder="1" applyAlignment="1">
      <x:alignment wrapText="1"/>
    </x:xf>
    <x:xf numFmtId="0" fontId="10" fillId="0" borderId="2" xfId="0" applyNumberFormat="1" applyFont="1" applyFill="1" applyBorder="1" applyAlignment="1">
      <x:alignment vertical="center" wrapText="1"/>
    </x:xf>
    <x:xf numFmtId="0" fontId="9" fillId="0" borderId="2" xfId="0" applyNumberFormat="1" applyFont="1" applyFill="1" applyBorder="1"/>
    <x:xf numFmtId="0" fontId="9" fillId="0" borderId="2" xfId="0" applyNumberFormat="1" applyFont="1" applyFill="1" applyBorder="1" applyAlignment="1">
      <x:alignment vertical="center"/>
    </x:xf>
    <x:xf numFmtId="0" fontId="10" fillId="0" borderId="2" xfId="0" applyNumberFormat="1" applyFont="1" applyFill="1" applyBorder="1" applyAlignment="1">
      <x:alignment vertical="center"/>
    </x:xf>
    <x:xf numFmtId="213" fontId="9" fillId="0" borderId="2" xfId="0" applyNumberFormat="1" applyFont="1" applyFill="1" applyBorder="1" applyAlignment="1">
      <x:alignment vertical="center"/>
    </x:xf>
    <x:xf numFmtId="213" fontId="9" fillId="0" borderId="2" xfId="0" applyNumberFormat="1" applyFont="1" applyFill="1" applyBorder="1" applyAlignment="1">
      <x:alignment horizontal="right" vertical="center"/>
    </x:xf>
    <x:xf numFmtId="203" fontId="9" fillId="0" borderId="2" xfId="0" applyNumberFormat="1" applyFont="1" applyFill="1" applyBorder="1" applyAlignment="1">
      <x:alignment vertical="center"/>
    </x:xf>
    <x:xf numFmtId="203" fontId="9" fillId="0" borderId="2" xfId="0" applyNumberFormat="1" applyFont="1" applyFill="1" applyBorder="1" applyAlignment="1">
      <x:alignment horizontal="right" vertical="center"/>
    </x:xf>
    <x:xf numFmtId="213" fontId="10" fillId="0" borderId="2" xfId="0" applyNumberFormat="1" applyFont="1" applyFill="1" applyBorder="1" applyAlignment="1">
      <x:alignment vertical="center"/>
    </x:xf>
    <x:xf numFmtId="213" fontId="10" fillId="0" borderId="2" xfId="0" applyNumberFormat="1" applyFont="1" applyFill="1" applyBorder="1" applyAlignment="1">
      <x:alignment horizontal="right" vertical="center"/>
    </x:xf>
    <x:xf numFmtId="205" fontId="9" fillId="0" borderId="2" xfId="0" applyNumberFormat="1" applyFont="1" applyFill="1" applyBorder="1" applyAlignment="1">
      <x:alignment vertical="center"/>
    </x:xf>
    <x:xf numFmtId="205" fontId="9" fillId="0" borderId="2" xfId="0" applyNumberFormat="1" applyFont="1" applyFill="1" applyBorder="1" applyAlignment="1">
      <x:alignment horizontal="right" vertical="center"/>
    </x:xf>
    <x:xf numFmtId="200" fontId="10" fillId="0" borderId="2" xfId="0" applyNumberFormat="1" applyFont="1" applyFill="1" applyBorder="1" applyAlignment="1">
      <x:alignment vertical="center"/>
    </x:xf>
    <x:xf numFmtId="200" fontId="10" fillId="0" borderId="2" xfId="0" applyNumberFormat="1" applyFont="1" applyFill="1" applyBorder="1" applyAlignment="1">
      <x:alignment horizontal="right" vertical="center"/>
    </x:xf>
    <x:xf numFmtId="0" fontId="0" fillId="13" borderId="0" xfId="0" applyNumberFormat="1" applyFont="1" applyFill="1" applyBorder="1"/>
    <x:xf numFmtId="0" fontId="16" fillId="13" borderId="0" xfId="0" applyNumberFormat="1" applyFont="1" applyFill="1" applyBorder="1"/>
    <x:xf numFmtId="0" fontId="16" fillId="13" borderId="0" xfId="0" applyNumberFormat="1" applyFont="1" applyFill="1" applyBorder="1" applyAlignment="1">
      <x:alignment wrapText="1"/>
    </x:xf>
    <x:xf numFmtId="0" fontId="16" fillId="13" borderId="0" xfId="0" applyNumberFormat="1" applyFont="1" applyFill="1" applyBorder="1" applyAlignment="1">
      <x:alignment vertical="center" wrapText="1"/>
    </x:xf>
    <x:xf numFmtId="0" fontId="0" fillId="14" borderId="0" xfId="0" applyNumberFormat="1" applyFont="1" applyFill="1" applyBorder="1"/>
    <x:xf numFmtId="0" fontId="17" fillId="14" borderId="0" xfId="0" applyNumberFormat="1" applyFont="1" applyFill="1" applyBorder="1"/>
    <x:xf numFmtId="0" fontId="17" fillId="14" borderId="0" xfId="0" applyNumberFormat="1" applyFont="1" applyFill="1" applyBorder="1" applyAlignment="1">
      <x:alignment wrapText="1"/>
    </x:xf>
    <x:xf numFmtId="0" fontId="17" fillId="14" borderId="0" xfId="0" applyNumberFormat="1" applyFont="1" applyFill="1" applyBorder="1" applyAlignment="1">
      <x:alignment vertical="center" wrapText="1"/>
    </x:xf>
    <x:xf numFmtId="0" fontId="0" fillId="15" borderId="0" xfId="0" applyNumberFormat="1" applyFont="1" applyFill="1" applyBorder="1"/>
    <x:xf numFmtId="0" fontId="1" fillId="15" borderId="0" xfId="0" applyNumberFormat="1" applyFont="1" applyFill="1" applyBorder="1"/>
    <x:xf numFmtId="0" fontId="1" fillId="15" borderId="0" xfId="0" applyNumberFormat="1" applyFont="1" applyFill="1" applyBorder="1" applyAlignment="1">
      <x:alignment vertical="center"/>
    </x:xf>
    <x:xf numFmtId="0" fontId="2" fillId="13" borderId="0" xfId="0" applyNumberFormat="1" applyFont="1" applyFill="1" applyBorder="1"/>
    <x:xf numFmtId="0" fontId="2" fillId="13" borderId="0" xfId="0" applyNumberFormat="1" applyFont="1" applyFill="1" applyBorder="1" applyAlignment="1">
      <x:alignment wrapText="1"/>
    </x:xf>
    <x:xf numFmtId="0" fontId="2" fillId="13" borderId="0" xfId="0" applyNumberFormat="1" applyFont="1" applyFill="1" applyBorder="1" applyAlignment="1">
      <x:alignment vertical="center" wrapText="1"/>
    </x:xf>
    <x:xf numFmtId="213" fontId="10" fillId="0" borderId="2" xfId="0" applyNumberFormat="1" applyFont="1" applyFill="1" applyBorder="1" applyAlignment="1">
      <x:alignment vertical="center" wrapText="1"/>
    </x:xf>
    <x:xf numFmtId="213" fontId="10" fillId="0" borderId="2" xfId="0" applyNumberFormat="1" applyFont="1" applyFill="1" applyBorder="1" applyAlignment="1">
      <x:alignment horizontal="right" vertical="center" wrapText="1"/>
    </x:xf>
    <x:xf numFmtId="200" fontId="9" fillId="0" borderId="2" xfId="0" applyNumberFormat="1" applyFont="1" applyFill="1" applyBorder="1" applyAlignment="1">
      <x:alignment vertical="center"/>
    </x:xf>
    <x:xf numFmtId="200" fontId="9" fillId="0" borderId="2" xfId="0" applyNumberFormat="1" applyFont="1" applyFill="1" applyBorder="1" applyAlignment="1">
      <x:alignment horizontal="right" vertical="center"/>
    </x:xf>
    <x:xf numFmtId="212" fontId="10" fillId="0" borderId="2" xfId="0" applyNumberFormat="1" applyFont="1" applyFill="1" applyBorder="1" applyAlignment="1">
      <x:alignment vertical="center"/>
    </x:xf>
    <x:xf numFmtId="212" fontId="10" fillId="0" borderId="2" xfId="0" applyNumberFormat="1" applyFont="1" applyFill="1" applyBorder="1" applyAlignment="1">
      <x:alignment horizontal="right" vertical="center"/>
    </x:xf>
    <x:xf numFmtId="207" fontId="9" fillId="0" borderId="2" xfId="0" applyNumberFormat="1" applyFont="1" applyFill="1" applyBorder="1" applyAlignment="1">
      <x:alignment vertical="center"/>
    </x:xf>
    <x:xf numFmtId="207" fontId="9" fillId="0" borderId="2" xfId="0" applyNumberFormat="1" applyFont="1" applyFill="1" applyBorder="1" applyAlignment="1">
      <x:alignment horizontal="right" vertical="center"/>
    </x:xf>
    <x:xf numFmtId="0" fontId="10" fillId="16" borderId="2" xfId="0" applyNumberFormat="1" applyFont="1" applyFill="1" applyBorder="1" applyAlignment="1">
      <x:alignment vertical="center" wrapText="1"/>
    </x:xf>
    <x:xf numFmtId="212" fontId="10" fillId="16" borderId="2" xfId="0" applyNumberFormat="1" applyFont="1" applyFill="1" applyBorder="1" applyAlignment="1">
      <x:alignment horizontal="right" vertical="center"/>
    </x:xf>
    <x:xf numFmtId="0" fontId="11" fillId="16" borderId="2" xfId="0" applyNumberFormat="1" applyFont="1" applyFill="1" applyBorder="1" applyAlignment="1">
      <x:alignment vertical="center" wrapText="1"/>
    </x:xf>
    <x:xf numFmtId="212" fontId="11" fillId="16" borderId="2" xfId="0" applyNumberFormat="1" applyFont="1" applyFill="1" applyBorder="1" applyAlignment="1">
      <x:alignment horizontal="right" vertical="center"/>
    </x:xf>
    <x:xf numFmtId="0" fontId="7" fillId="0" borderId="2" xfId="0" applyNumberFormat="1" applyFont="1" applyFill="1" applyBorder="1" applyAlignment="1">
      <x:alignment vertical="center" wrapText="1"/>
    </x:xf>
    <x:xf numFmtId="0" fontId="18" fillId="0" borderId="2" xfId="0" applyNumberFormat="1" applyFont="1" applyFill="1" applyBorder="1" applyAlignment="1">
      <x:alignment vertical="center" wrapText="1"/>
    </x:xf>
    <x:xf numFmtId="0" fontId="9" fillId="0" borderId="2" xfId="0" applyNumberFormat="1" applyFont="1" applyFill="1" applyBorder="1" applyAlignment="1">
      <x:alignment vertical="center" wrapText="1"/>
    </x:xf>
    <x:xf numFmtId="0" fontId="8" fillId="0" borderId="2" xfId="0" applyNumberFormat="1" applyFont="1" applyFill="1" applyBorder="1" applyAlignment="1">
      <x:alignment vertical="center" wrapText="1"/>
    </x:xf>
    <x:xf numFmtId="0" fontId="8" fillId="16" borderId="2" xfId="0" applyNumberFormat="1" applyFont="1" applyFill="1" applyBorder="1" applyAlignment="1">
      <x:alignment vertical="center" wrapText="1"/>
    </x:xf>
    <x:xf numFmtId="213" fontId="9" fillId="0" borderId="2" xfId="0" applyNumberFormat="1" applyFont="1" applyFill="1" applyBorder="1" applyAlignment="1">
      <x:alignment vertical="center" wrapText="1"/>
    </x:xf>
    <x:xf numFmtId="213" fontId="8" fillId="0" borderId="2" xfId="0" applyNumberFormat="1" applyFont="1" applyFill="1" applyBorder="1" applyAlignment="1">
      <x:alignment vertical="center" wrapText="1"/>
    </x:xf>
    <x:xf numFmtId="213" fontId="9" fillId="0" borderId="2" xfId="0" applyNumberFormat="1" applyFont="1" applyFill="1" applyBorder="1" applyAlignment="1">
      <x:alignment horizontal="right" vertical="center" wrapText="1"/>
    </x:xf>
    <x:xf numFmtId="213" fontId="8" fillId="0" borderId="2" xfId="0" applyNumberFormat="1" applyFont="1" applyFill="1" applyBorder="1" applyAlignment="1">
      <x:alignment horizontal="right" vertical="center" wrapText="1"/>
    </x:xf>
    <x:xf numFmtId="214" fontId="8" fillId="0" borderId="2" xfId="0" applyNumberFormat="1" applyFont="1" applyFill="1" applyBorder="1" applyAlignment="1">
      <x:alignment vertical="center" wrapText="1"/>
    </x:xf>
    <x:xf numFmtId="214" fontId="9" fillId="0" borderId="2" xfId="0" applyNumberFormat="1" applyFont="1" applyFill="1" applyBorder="1" applyAlignment="1">
      <x:alignment vertical="center" wrapText="1"/>
    </x:xf>
    <x:xf numFmtId="214" fontId="10" fillId="0" borderId="2" xfId="0" applyNumberFormat="1" applyFont="1" applyFill="1" applyBorder="1" applyAlignment="1">
      <x:alignment vertical="center" wrapText="1"/>
    </x:xf>
    <x:xf numFmtId="214" fontId="8" fillId="0" borderId="2" xfId="0" applyNumberFormat="1" applyFont="1" applyFill="1" applyBorder="1" applyAlignment="1">
      <x:alignment horizontal="right" vertical="center" wrapText="1"/>
    </x:xf>
    <x:xf numFmtId="214" fontId="9" fillId="0" borderId="2" xfId="0" applyNumberFormat="1" applyFont="1" applyFill="1" applyBorder="1" applyAlignment="1">
      <x:alignment horizontal="right" vertical="center" wrapText="1"/>
    </x:xf>
    <x:xf numFmtId="214" fontId="10" fillId="0" borderId="2" xfId="0" applyNumberFormat="1" applyFont="1" applyFill="1" applyBorder="1" applyAlignment="1">
      <x:alignment horizontal="right" vertical="center" wrapText="1"/>
    </x:xf>
  </x:cellXfs>
  <x:cellStyles count="1">
    <x:cellStyle name="Normal" xfId="0"/>
  </x:cellStyles>
  <x:dxfs count="8">
    <x:dxf>
      <x:font>
        <x:b/>
        <x:color rgb="FF006100"/>
      </x:font>
      <x:fill>
        <x:patternFill>
          <x:bgColor rgb="FFE2F0D9"/>
        </x:patternFill>
      </x:fill>
    </x:dxf>
    <x:dxf>
      <x:font>
        <x:b/>
        <x:color rgb="FFC00000"/>
      </x:font>
      <x:fill>
        <x:patternFill>
          <x:bgColor rgb="FFFCE4D6"/>
        </x:patternFill>
      </x:fill>
    </x:dxf>
    <x:dxf>
      <x:font>
        <x:b/>
        <x:color rgb="FF006100"/>
      </x:font>
      <x:fill>
        <x:patternFill>
          <x:bgColor rgb="FFE2F0D9"/>
        </x:patternFill>
      </x:fill>
    </x:dxf>
    <x:dxf>
      <x:font>
        <x:b/>
        <x:color rgb="FFC00000"/>
      </x:font>
      <x:fill>
        <x:patternFill>
          <x:bgColor rgb="FFFCE4D6"/>
        </x:patternFill>
      </x:fill>
    </x:dxf>
    <x:dxf>
      <x:font>
        <x:b/>
        <x:color rgb="FF006100"/>
      </x:font>
      <x:fill>
        <x:patternFill>
          <x:bgColor rgb="FFE2F0D9"/>
        </x:patternFill>
      </x:fill>
    </x:dxf>
    <x:dxf>
      <x:font>
        <x:b/>
        <x:color rgb="FFC00000"/>
      </x:font>
      <x:fill>
        <x:patternFill>
          <x:bgColor rgb="FFFCE4D6"/>
        </x:patternFill>
      </x:fill>
    </x:dxf>
    <x:dxf>
      <x:font>
        <x:b/>
        <x:color rgb="FF006100"/>
      </x:font>
      <x:fill>
        <x:patternFill>
          <x:bgColor rgb="FFE2F0D9"/>
        </x:patternFill>
      </x:fill>
    </x:dxf>
    <x:dxf>
      <x:font>
        <x:b/>
        <x:color rgb="FFC00000"/>
      </x:font>
      <x:fill>
        <x:patternFill>
          <x:bgColor rgb="FFFCE4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3d775dee97a465e" /><Relationship Type="http://schemas.openxmlformats.org/officeDocument/2006/relationships/theme" Target="/xl/theme/theme1.xml" Id="Rad26b15e0a974b06" /><Relationship Type="http://schemas.openxmlformats.org/officeDocument/2006/relationships/sharedStrings" Target="/xl/sharedStrings.xml" Id="R893e2cb7a1d64811" /><Relationship Type="http://schemas.openxmlformats.org/officeDocument/2006/relationships/worksheet" Target="/xl/worksheets/sheet1.xml" Id="Red13ee35e3eb49a8" /><Relationship Type="http://schemas.openxmlformats.org/officeDocument/2006/relationships/worksheet" Target="/xl/worksheets/sheet2.xml" Id="Rb3144c01e8af4a5c" /><Relationship Type="http://schemas.openxmlformats.org/officeDocument/2006/relationships/worksheet" Target="/xl/worksheets/sheet3.xml" Id="R7e6663fab8bf48a9" /><Relationship Type="http://schemas.openxmlformats.org/officeDocument/2006/relationships/worksheet" Target="/xl/worksheets/sheet4.xml" Id="R68f1d87d16d243a4" /><Relationship Type="http://schemas.openxmlformats.org/officeDocument/2006/relationships/worksheet" Target="/xl/worksheets/sheet5.xml" Id="Rfae4a6157363467e" /><Relationship Type="http://schemas.openxmlformats.org/officeDocument/2006/relationships/worksheet" Target="/xl/worksheets/sheet6.xml" Id="Re42235e7711a42b0" /><Relationship Type="http://schemas.openxmlformats.org/officeDocument/2006/relationships/worksheet" Target="/xl/worksheets/sheet7.xml" Id="Rd152799a7c454548" /><Relationship Type="http://schemas.openxmlformats.org/officeDocument/2006/relationships/worksheet" Target="/xl/worksheets/sheet8.xml" Id="Rc67f19933c80407b" /><Relationship Type="http://schemas.openxmlformats.org/officeDocument/2006/relationships/worksheet" Target="/xl/worksheets/sheet9.xml" Id="R3a7842ce159648f3" /><Relationship Type="http://schemas.openxmlformats.org/officeDocument/2006/relationships/worksheet" Target="/xl/worksheets/sheet10.xml" Id="Rda942b37d9e14a96" /><Relationship Type="http://schemas.openxmlformats.org/officeDocument/2006/relationships/worksheet" Target="/xl/worksheets/sheet11.xml" Id="R67cbe8ead17d4270" /><Relationship Type="http://schemas.openxmlformats.org/officeDocument/2006/relationships/worksheet" Target="/xl/worksheets/sheet12.xml" Id="R389debfd085a43c7" /><Relationship Type="http://schemas.openxmlformats.org/officeDocument/2006/relationships/worksheet" Target="/xl/worksheets/sheet13.xml" Id="R2813e899039e41bd" /><Relationship Type="http://schemas.openxmlformats.org/officeDocument/2006/relationships/worksheet" Target="/xl/worksheets/sheet14.xml" Id="R8ea890d96ae842fc" /><Relationship Type="http://schemas.microsoft.com/office/2017/10/relationships/person" Target="/xl/persons/person.xml" Id="R71f465e7b89a491d" /></Relationships>
</file>

<file path=xl/drawings/_rels/drawing1.xml.rels>&#65279;<?xml version="1.0" encoding="utf-8"?><Relationships xmlns="http://schemas.openxmlformats.org/package/2006/relationships"><Relationship Type="http://schemas.openxmlformats.org/officeDocument/2006/relationships/chart" Target="/xl/drawings/charts/chart1.xml" Id="R19e6cbc32ada416e" /></Relationships>
</file>

<file path=xl/drawings/_rels/drawing2.xml.rels>&#65279;<?xml version="1.0" encoding="utf-8"?><Relationships xmlns="http://schemas.openxmlformats.org/package/2006/relationships"><Relationship Type="http://schemas.openxmlformats.org/officeDocument/2006/relationships/chart" Target="/xl/drawings/charts/chart2.xml" Id="Rf3be4acbd5e54ed4" /><Relationship Type="http://schemas.openxmlformats.org/officeDocument/2006/relationships/chart" Target="/xl/drawings/charts/chart3.xml" Id="R1aebd9d980b44e59"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所选情景收入趋势</a:t>
            </a:r>
          </a:p>
        </c:rich>
      </c:tx>
      <c:overlay val="0"/>
    </c:title>
    <c:plotArea>
      <c:lineChart>
        <c:grouping val="standard"/>
        <c:varyColors val="0"/>
        <c:ser>
          <c:idx val="0"/>
          <c:order val="0"/>
          <c:tx>
            <c:v>营业收入（百万元）</c:v>
          </c:tx>
          <c:marker>
            <c:symbol val="none"/>
          </c:marker>
          <c:cat>
            <c:strRef>
              <c:f>'结论摘要'!$J$6:$J$10</c:f>
              <c:strCache>
                <c:ptCount val="0"/>
              </c:strCache>
            </c:strRef>
          </c:cat>
          <c:val>
            <c:numRef>
              <c:f>'结论摘要'!$K$6:$K$10</c:f>
              <c:numCache>
                <c:formatCode>#,##0.0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三情景营业收入</a:t>
            </a:r>
          </a:p>
        </c:rich>
      </c:tx>
      <c:overlay val="0"/>
    </c:title>
    <c:plotArea>
      <c:lineChart>
        <c:grouping val="standard"/>
        <c:varyColors val="0"/>
        <c:ser>
          <c:idx val="0"/>
          <c:order val="0"/>
          <c:tx>
            <c:v>悲观</c:v>
          </c:tx>
          <c:marker>
            <c:symbol val="none"/>
          </c:marker>
          <c:cat>
            <c:strRef>
              <c:f>'情景对比'!$A$10:$A$14</c:f>
              <c:strCache>
                <c:ptCount val="0"/>
              </c:strCache>
            </c:strRef>
          </c:cat>
          <c:val>
            <c:numRef>
              <c:f>'情景对比'!$B$10:$B$14</c:f>
              <c:numCache>
                <c:formatCode>#,##0.0</c:formatCode>
                <c:ptCount val="0"/>
              </c:numCache>
            </c:numRef>
          </c:val>
          <c:smooth val="0"/>
        </c:ser>
        <c:ser>
          <c:idx val="1"/>
          <c:order val="1"/>
          <c:tx>
            <c:v>基准</c:v>
          </c:tx>
          <c:marker>
            <c:symbol val="none"/>
          </c:marker>
          <c:cat>
            <c:strRef>
              <c:f>'情景对比'!$A$10:$A$14</c:f>
              <c:strCache>
                <c:ptCount val="0"/>
              </c:strCache>
            </c:strRef>
          </c:cat>
          <c:val>
            <c:numRef>
              <c:f>'情景对比'!$C$10:$C$14</c:f>
              <c:numCache>
                <c:formatCode>#,##0.0</c:formatCode>
                <c:ptCount val="0"/>
              </c:numCache>
            </c:numRef>
          </c:val>
          <c:smooth val="0"/>
        </c:ser>
        <c:ser>
          <c:idx val="2"/>
          <c:order val="2"/>
          <c:tx>
            <c:v>乐观</c:v>
          </c:tx>
          <c:marker>
            <c:symbol val="none"/>
          </c:marker>
          <c:cat>
            <c:strRef>
              <c:f>'情景对比'!$A$10:$A$14</c:f>
              <c:strCache>
                <c:ptCount val="0"/>
              </c:strCache>
            </c:strRef>
          </c:cat>
          <c:val>
            <c:numRef>
              <c:f>'情景对比'!$D$10:$D$14</c:f>
              <c:numCache>
                <c:formatCode>#,##0.0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三情景归母净利润</a:t>
            </a:r>
          </a:p>
        </c:rich>
      </c:tx>
      <c:overlay val="0"/>
    </c:title>
    <c:plotArea>
      <c:lineChart>
        <c:grouping val="standard"/>
        <c:varyColors val="0"/>
        <c:ser>
          <c:idx val="0"/>
          <c:order val="0"/>
          <c:tx>
            <c:v>悲观</c:v>
          </c:tx>
          <c:marker>
            <c:symbol val="none"/>
          </c:marker>
          <c:cat>
            <c:strRef>
              <c:f>'情景对比'!$A$20:$A$24</c:f>
              <c:strCache>
                <c:ptCount val="0"/>
              </c:strCache>
            </c:strRef>
          </c:cat>
          <c:val>
            <c:numRef>
              <c:f>'情景对比'!$B$20:$B$24</c:f>
              <c:numCache>
                <c:formatCode>#,##0.0;[Red](#,##0.0)</c:formatCode>
                <c:ptCount val="0"/>
              </c:numCache>
            </c:numRef>
          </c:val>
          <c:smooth val="0"/>
        </c:ser>
        <c:ser>
          <c:idx val="1"/>
          <c:order val="1"/>
          <c:tx>
            <c:v>基准</c:v>
          </c:tx>
          <c:marker>
            <c:symbol val="none"/>
          </c:marker>
          <c:cat>
            <c:strRef>
              <c:f>'情景对比'!$A$20:$A$24</c:f>
              <c:strCache>
                <c:ptCount val="0"/>
              </c:strCache>
            </c:strRef>
          </c:cat>
          <c:val>
            <c:numRef>
              <c:f>'情景对比'!$C$20:$C$24</c:f>
              <c:numCache>
                <c:formatCode>#,##0.0;[Red](#,##0.0)</c:formatCode>
                <c:ptCount val="0"/>
              </c:numCache>
            </c:numRef>
          </c:val>
          <c:smooth val="0"/>
        </c:ser>
        <c:ser>
          <c:idx val="2"/>
          <c:order val="2"/>
          <c:tx>
            <c:v>乐观</c:v>
          </c:tx>
          <c:marker>
            <c:symbol val="none"/>
          </c:marker>
          <c:cat>
            <c:strRef>
              <c:f>'情景对比'!$A$20:$A$24</c:f>
              <c:strCache>
                <c:ptCount val="0"/>
              </c:strCache>
            </c:strRef>
          </c:cat>
          <c:val>
            <c:numRef>
              <c:f>'情景对比'!$D$20:$D$24</c:f>
              <c:numCache>
                <c:formatCode>#,##0.0;[Red](#,##0.0)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9</xdr:col>
      <xdr:colOff>0</xdr:colOff>
      <xdr:row>11</xdr:row>
      <xdr:rowOff>0</xdr:rowOff>
    </xdr:from>
    <xdr:to>
      <xdr:col>17</xdr:col>
      <xdr:colOff>0</xdr:colOff>
      <xdr:row>27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9e6cbc32ada416e"/>
        </a:graphicData>
      </a:graphic>
    </xdr:graphicFrame>
    <xdr:clientData/>
  </xdr:twoCellAnchor>
</xdr:wsDr>
</file>

<file path=xl/drawings/drawing2.xml><?xml version="1.0" encoding="utf-8"?>
<xdr:wsDr xmlns:xdr="http://schemas.openxmlformats.org/drawingml/2006/spreadsheetDrawing">
  <xdr:twoCellAnchor>
    <xdr:from>
      <xdr:col>6</xdr:col>
      <xdr:colOff>0</xdr:colOff>
      <xdr:row>7</xdr:row>
      <xdr:rowOff>0</xdr:rowOff>
    </xdr:from>
    <xdr:to>
      <xdr:col>14</xdr:col>
      <xdr:colOff>0</xdr:colOff>
      <xdr:row>21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3be4acbd5e54ed4"/>
        </a:graphicData>
      </a:graphic>
    </xdr:graphicFrame>
    <xdr:clientData/>
  </xdr:twoCellAnchor>
  <xdr:twoCellAnchor>
    <xdr:from>
      <xdr:col>6</xdr:col>
      <xdr:colOff>0</xdr:colOff>
      <xdr:row>22</xdr:row>
      <xdr:rowOff>0</xdr:rowOff>
    </xdr:from>
    <xdr:to>
      <xdr:col>14</xdr:col>
      <xdr:colOff>0</xdr:colOff>
      <xdr:row>36</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aebd9d980b44e59"/>
        </a:graphicData>
      </a:graphic>
    </xdr:graphicFrame>
    <xdr:clientData/>
  </xdr:twoCellAnchor>
</xdr:wsDr>
</file>

<file path=xl/persons/person.xml><?xml version="1.0" encoding="utf-8"?>
<xltc:personList xmlns:xltc="http://schemas.microsoft.com/office/spreadsheetml/2018/threadedcomments">
  <xltc:person displayName="Codex研究模型" id="{D561BE37-EED1-4FDA-897F-AC07D707A206}"/>
</xltc:personList>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B7" dT="2026-08-22T11:35:59.194" personId="{D561BE37-EED1-4FDA-897F-AC07D707A206}" id="{07AEAF33-ADD9-6406-CDA9-8E1E5B88AB7D}">
    <xltc:text>Source: https://static.cninfo.com.cn/finalpage/2022-04-12/1212887556.PDF</xltc:text>
  </xltc:threadedComment>
  <xltc:threadedComment ref="C7" dT="2026-08-22T11:35:59.194" personId="{D561BE37-EED1-4FDA-897F-AC07D707A206}" id="{BC485C37-52E9-5F8D-1D46-6F533C78A536}">
    <xltc:text>Source: https://static.cninfo.com.cn/finalpage/2023-03-04/1216050813.PDF</xltc:text>
  </xltc:threadedComment>
  <xltc:threadedComment ref="D7" dT="2026-08-22T11:35:59.194" personId="{D561BE37-EED1-4FDA-897F-AC07D707A206}" id="{D6E8F1BD-B639-5183-0E3B-B5B60424F9CE}">
    <xltc:text>Source: https://static.cninfo.com.cn/finalpage/2024-03-28/1219423821.PDF</xltc:text>
  </xltc:threadedComment>
  <xltc:threadedComment ref="E7" dT="2026-08-22T11:35:59.194" personId="{D561BE37-EED1-4FDA-897F-AC07D707A206}" id="{6C4F52E8-D958-0BED-78A2-A0158DBAE4B5}">
    <xltc:text>Source: https://static.cninfo.com.cn/finalpage/2025-04-24/1223236600.PDF</xltc:text>
  </xltc:threadedComment>
  <xltc:threadedComment ref="F7" dT="2026-08-22T11:35:59.194" personId="{D561BE37-EED1-4FDA-897F-AC07D707A206}" id="{EF2B687A-5D09-B266-6F53-878E93C8859C}">
    <xltc:text>Source: https://static.cninfo.com.cn/finalpage/2026-04-25/1225176273.PDF</xltc:text>
  </xltc:threadedComment>
  <xltc:threadedComment ref="G7" dT="2026-08-22T11:35:59.194" personId="{D561BE37-EED1-4FDA-897F-AC07D707A206}" id="{9EADA02A-3095-5A74-1A91-71C2530C2276}">
    <xltc:text>Source: https://static.cninfo.com.cn/finalpage/2026-04-27/1225197952.PDF</xltc:text>
  </xltc:threadedComment>
  <xltc:threadedComment ref="B22" dT="2026-08-22T11:35:59.194" personId="{D561BE37-EED1-4FDA-897F-AC07D707A206}" id="{0C97E8A2-22DB-E310-23DA-62C391C337ED}">
    <xltc:text>Source: https://static.cninfo.com.cn/finalpage/2026-07-20/1225431458.PDF</xltc:text>
  </xltc:threadedComment>
  <xltc:threadedComment ref="B29" dT="2026-08-22T11:35:59.194" personId="{D561BE37-EED1-4FDA-897F-AC07D707A206}" id="{EEF36F15-1959-9E36-9891-2F50CE729CD2}">
    <xltc:text>Source: https://static.cninfo.com.cn/finalpage/2026-04-25/1225176273.PDF</xltc:text>
  </xltc:threadedComment>
</xltc:ThreadedComments>
</file>

<file path=xl/threadedcomments/threadedcomment2.xml><?xml version="1.0" encoding="utf-8"?>
<xltc:ThreadedComments xmlns:xltc="http://schemas.microsoft.com/office/spreadsheetml/2018/threadedcomments">
  <xltc:threadedComment ref="I6" dT="2026-08-22T11:35:59.208" personId="{D561BE37-EED1-4FDA-897F-AC07D707A206}" id="{475C00C2-4F53-FCCC-2DA6-21204E9ED752}">
    <xltc:text>2026基准228百万部：以2025 Apple出货240.6百万部、2026 iOS出货下降5.2%的公开预测近似校准。Source: https://omdia.tech.informa.com/pr/2026/jan/global-smartphone-market-grew-2percent-in-2025-while-memory-headwinds-set-the-stage-for-a-challenging-2026 ; https://www.idc.com/promo/smartphone-market-share/?submit=Search</xltc:text>
  </xltc:threadedComment>
  <xltc:threadedComment ref="I10" dT="2026-08-22T11:35:59.208" personId="{D561BE37-EED1-4FDA-897F-AC07D707A206}" id="{CAD63AE5-880C-17BF-4E39-8B3B1E8C493B}">
    <xltc:text>单片加工费为会议全量TAM 20–30亿元÷终端量÷前端片数系数反推，约5.5–8.3元/加工片；非公司公开报价。基准取8元。Source: 用户提供的2026-06-10交流纪要</xltc:text>
  </xltc:threadedComment>
  <xltc:threadedComment ref="I12" dT="2026-08-22T11:35:59.208" personId="{D561BE37-EED1-4FDA-897F-AC07D707A206}" id="{09F9846C-6791-6C93-4BEB-F2F743C89DC1}">
    <xltc:text>公开专利示例与2025混合线材ASP反推约0.06–0.54元/片；规格差异大。Source: https://patents.google.com/patent/CN108527114A/zh</xltc:text>
  </xltc:threadedComment>
  <xltc:threadedComment ref="I18" dT="2026-08-22T11:35:59.208" personId="{D561BE37-EED1-4FDA-897F-AC07D707A206}" id="{2B0D563C-37FA-9DCA-7D60-809EF50D41C5}">
    <xltc:text>网页基准参数：2026E 首批设备兑现10%，交付节奏为0；2027E起按验证现场向设备导入的研究情景展开。该参数不是公司指引或已披露合同。Source: 当前 app/company/300700/data/presets.ts</xltc:text>
  </xltc:threadedComment>
  <xltc:threadedComment ref="I39" dT="2026-08-22T11:35:59.208" personId="{D561BE37-EED1-4FDA-897F-AC07D707A206}" id="{51285043-8DCC-0A8F-BDE7-2E70951F3D42}">
    <xltc:text>惠州岱勒：上市公司持90%，伯恩持10%，纳入合并。Source: https://static.cninfo.com.cn/finalpage/2025-07-11/1224143572.PDF</xltc:text>
  </xltc:threadedComment>
  <xltc:threadedComment ref="I40" dT="2026-08-22T11:35:59.208" personId="{D561BE37-EED1-4FDA-897F-AC07D707A206}" id="{FE11DB9D-C351-6780-BA98-0FE25BA292E3}">
    <xltc:text>捷泰（广州）：上市公司持51%，其他股东合计49%，纳入合并。Source: https://static.cninfo.com.cn/finalpage/2026-02-03/1224965309.PDF</xltc:text>
  </xltc:threadedComment>
</xltc:ThreadedComments>
</file>

<file path=xl/threadedcomments/threadedcomment3.xml><?xml version="1.0" encoding="utf-8"?>
<xltc:ThreadedComments xmlns:xltc="http://schemas.microsoft.com/office/spreadsheetml/2018/threadedcomments">
  <xltc:threadedComment ref="B18" dT="2026-08-22T11:35:59.234" personId="{D561BE37-EED1-4FDA-897F-AC07D707A206}" id="{E30D882A-D838-A200-304B-405F539C5E9D}">
    <xltc:text>Universe comparator source: https://static.cninfo.com.cn/finalpage/2026-04-29/1225245690.PDF</xltc:text>
  </xltc:threadedComment>
</xltc:ThreadedComments>
</file>

<file path=xl/worksheets/_rels/sheet1.xml.rels>&#65279;<?xml version="1.0" encoding="utf-8"?><Relationships xmlns="http://schemas.openxmlformats.org/package/2006/relationships"><Relationship Type="http://schemas.openxmlformats.org/officeDocument/2006/relationships/drawing" Target="/xl/drawings/drawing1.xml" Id="Rf2977147f0e14161" /></Relationships>
</file>

<file path=xl/worksheets/_rels/sheet2.xml.rels>&#65279;<?xml version="1.0" encoding="utf-8"?><Relationships xmlns="http://schemas.openxmlformats.org/package/2006/relationships"><Relationship Type="http://schemas.openxmlformats.org/officeDocument/2006/relationships/comments" Target="/xl/comments1.xml" Id="R621139c98ee94dff" /><Relationship Type="http://schemas.openxmlformats.org/officeDocument/2006/relationships/vmlDrawing" Target="/xl/drawings/vmldrawing.vml" Id="Rc182ac59da224b02" /><Relationship Type="http://schemas.microsoft.com/office/2017/10/relationships/threadedComment" Target="/xl/threadedcomments/threadedcomment.xml" Id="R4f7926a28ce54163" /></Relationships>
</file>

<file path=xl/worksheets/_rels/sheet3.xml.rels>&#65279;<?xml version="1.0" encoding="utf-8"?><Relationships xmlns="http://schemas.openxmlformats.org/package/2006/relationships"><Relationship Type="http://schemas.openxmlformats.org/officeDocument/2006/relationships/comments" Target="/xl/comments2.xml" Id="R1d22eb7baacc495d" /><Relationship Type="http://schemas.openxmlformats.org/officeDocument/2006/relationships/vmlDrawing" Target="/xl/drawings/vmldrawing2.vml" Id="R9923842cfd344152" /><Relationship Type="http://schemas.microsoft.com/office/2017/10/relationships/threadedComment" Target="/xl/threadedcomments/threadedcomment2.xml" Id="R392c155d87bf4638" /></Relationships>
</file>

<file path=xl/worksheets/_rels/sheet5.xml.rels>&#65279;<?xml version="1.0" encoding="utf-8"?><Relationships xmlns="http://schemas.openxmlformats.org/package/2006/relationships"><Relationship Type="http://schemas.openxmlformats.org/officeDocument/2006/relationships/comments" Target="/xl/comments3.xml" Id="R6df1e0096a0443db" /><Relationship Type="http://schemas.openxmlformats.org/officeDocument/2006/relationships/vmlDrawing" Target="/xl/drawings/vmldrawing3.vml" Id="R5084731936ad4335" /><Relationship Type="http://schemas.microsoft.com/office/2017/10/relationships/threadedComment" Target="/xl/threadedcomments/threadedcomment3.xml" Id="R8eef806bb153495e" /></Relationships>
</file>

<file path=xl/worksheets/_rels/sheet6.xml.rels>&#65279;<?xml version="1.0" encoding="utf-8"?><Relationships xmlns="http://schemas.openxmlformats.org/package/2006/relationships"><Relationship Type="http://schemas.openxmlformats.org/officeDocument/2006/relationships/drawing" Target="/xl/drawings/drawing2.xml" Id="R4a0ef184e92343ad" /></Relationships>
</file>

<file path=xl/worksheets/sheet1.xml><?xml version="1.0" encoding="utf-8"?>
<x:worksheet xmlns:x="http://schemas.openxmlformats.org/spreadsheetml/2006/main">
  <x:sheetViews>
    <x:sheetView showGridLines="0" workbookViewId="0"/>
  </x:sheetViews>
  <x:sheetFormatPr defaultRowHeight="15"/>
  <x:cols>
    <x:col min="1" max="1" width="21" hidden="0" customWidth="1"/>
    <x:col min="2" max="2" width="14" hidden="0" customWidth="1"/>
    <x:col min="3" max="3" width="14" hidden="0" customWidth="1"/>
    <x:col min="4" max="4" width="14" hidden="0" customWidth="1"/>
    <x:col min="5" max="5" width="14" hidden="0" customWidth="1"/>
    <x:col min="6" max="6" width="14" hidden="0" customWidth="1"/>
    <x:col min="7" max="7" width="16" hidden="0" customWidth="1"/>
    <x:col min="8" max="8" width="16" hidden="0" customWidth="1"/>
    <x:col min="10" max="10" width="12" hidden="0" customWidth="1"/>
    <x:col min="11" max="11" width="18" hidden="0" customWidth="1"/>
  </x:cols>
  <x:sheetData>
    <x:row r="1" ht="30" customHeight="1">
      <x:c r="A1" s="3" t="str">
        <x:v>岱勒新材（300700.SZ）深度研究与业绩模型｜网页同步版</x:v>
      </x:c>
      <x:c r="B1" s="3"/>
      <x:c r="C1" s="3"/>
      <x:c r="D1" s="3"/>
      <x:c r="E1" s="3"/>
      <x:c r="F1" s="3"/>
      <x:c r="G1" s="3"/>
      <x:c r="H1" s="3"/>
      <x:c r="I1" s="3"/>
      <x:c r="J1" s="3"/>
      <x:c r="K1" s="3"/>
      <x:c r="L1" s="3"/>
      <x:c r="M1" s="3"/>
      <x:c r="N1" s="3"/>
      <x:c r="O1" s="3"/>
      <x:c r="P1" s="3"/>
      <x:c r="Q1" s="3"/>
    </x:row>
    <x:row r="2" ht="28" customHeight="1">
      <x:c r="A2" s="7" t="str">
        <x:v>同步本机 /company/300700（/company/1 同内容）；研究版本 2026-08-26，资料更新至 2026-08-26。金额单位：百万元。</x:v>
      </x:c>
      <x:c r="B2" s="7"/>
      <x:c r="C2" s="7"/>
      <x:c r="D2" s="7"/>
      <x:c r="E2" s="7"/>
      <x:c r="F2" s="7"/>
      <x:c r="G2" s="7"/>
      <x:c r="H2" s="7"/>
      <x:c r="I2" s="7"/>
      <x:c r="J2" s="7"/>
      <x:c r="K2" s="7"/>
      <x:c r="L2" s="7"/>
      <x:c r="M2" s="7"/>
      <x:c r="N2" s="7"/>
      <x:c r="O2" s="7"/>
      <x:c r="P2" s="7"/>
      <x:c r="Q2" s="7"/>
    </x:row>
    <x:row r="4" ht="22" customHeight="1">
      <x:c r="A4" s="10" t="str">
        <x:v>使用边界</x:v>
      </x:c>
      <x:c r="B4" s="10"/>
      <x:c r="C4" s="10"/>
      <x:c r="D4" s="10"/>
      <x:c r="E4" s="10"/>
      <x:c r="F4" s="10"/>
      <x:c r="G4" s="10"/>
      <x:c r="H4" s="10"/>
    </x:row>
    <x:row r="5" ht="34" customHeight="1">
      <x:c r="A5" s="14" t="str">
        <x:v>附件中的产业链调研信息、研究图片和产品资料仅作为研究线索；正式事实优先采用公司公告/定期报告。A客户高概率指向 Apple，但公司从未正式点名。</x:v>
      </x:c>
      <x:c r="B5" s="14"/>
      <x:c r="C5" s="14"/>
      <x:c r="D5" s="14"/>
      <x:c r="E5" s="14"/>
      <x:c r="F5" s="14"/>
      <x:c r="G5" s="14"/>
      <x:c r="H5" s="14"/>
      <x:c r="J5" s="26" t="str">
        <x:v>年份</x:v>
      </x:c>
      <x:c r="K5" s="26" t="str">
        <x:v>营业收入（百万元）</x:v>
      </x:c>
    </x:row>
    <x:row r="6">
      <x:c r="J6" t="str">
        <x:v>2026</x:v>
      </x:c>
      <x:c r="K6" s="45" t="n">
        <x:f>B10</x:f>
        <x:v>665.4610749999999</x:v>
      </x:c>
    </x:row>
    <x:row r="7">
      <x:c r="A7" s="17" t="str">
        <x:v>当前情景</x:v>
      </x:c>
      <x:c r="B7" s="20" t="str">
        <x:v>基准</x:v>
      </x:c>
      <x:c r="D7" s="204" t="str">
        <x:v>颜色：蓝字=输入；绿字=同工作簿链接；黑字=公式</x:v>
      </x:c>
      <x:c r="E7" s="204"/>
      <x:c r="F7" s="204"/>
      <x:c r="G7" s="204"/>
      <x:c r="H7" s="204"/>
      <x:c r="J7" t="str">
        <x:v>2027</x:v>
      </x:c>
      <x:c r="K7" s="45" t="n">
        <x:f>C10</x:f>
        <x:v>2864.34</x:v>
      </x:c>
    </x:row>
    <x:row r="8">
      <x:c r="J8" t="str">
        <x:v>2028</x:v>
      </x:c>
      <x:c r="K8" s="45" t="n">
        <x:f>D10</x:f>
        <x:v>3576.5823442823526</x:v>
      </x:c>
    </x:row>
    <x:row r="9">
      <x:c r="A9" s="26" t="str">
        <x:v>指标</x:v>
      </x:c>
      <x:c r="B9" s="26" t="str">
        <x:v>2026E</x:v>
      </x:c>
      <x:c r="C9" s="26" t="str">
        <x:v>2027E</x:v>
      </x:c>
      <x:c r="D9" s="26" t="str">
        <x:v>2028E</x:v>
      </x:c>
      <x:c r="E9" s="26" t="str">
        <x:v>2029E</x:v>
      </x:c>
      <x:c r="F9" s="26" t="str">
        <x:v>2030E</x:v>
      </x:c>
      <x:c r="J9" t="str">
        <x:v>2029</x:v>
      </x:c>
      <x:c r="K9" s="45" t="n">
        <x:f>E10</x:f>
        <x:v>4328.841727941177</x:v>
      </x:c>
    </x:row>
    <x:row r="10">
      <x:c r="A10" s="37" t="str">
        <x:v>营业收入（百万元）</x:v>
      </x:c>
      <x:c r="B10" s="33" t="n">
        <x:f>IF($B$7="悲观",'分部预测'!B14,IF($B$7="乐观",'分部预测'!B112,'分部预测'!B63))</x:f>
        <x:v>665.4610749999999</x:v>
      </x:c>
      <x:c r="C10" s="33" t="n">
        <x:f>IF($B$7="悲观",'分部预测'!C14,IF($B$7="乐观",'分部预测'!C112,'分部预测'!C63))</x:f>
        <x:v>2864.34</x:v>
      </x:c>
      <x:c r="D10" s="33" t="n">
        <x:f>IF($B$7="悲观",'分部预测'!D14,IF($B$7="乐观",'分部预测'!D112,'分部预测'!D63))</x:f>
        <x:v>3576.5823442823526</x:v>
      </x:c>
      <x:c r="E10" s="33" t="n">
        <x:f>IF($B$7="悲观",'分部预测'!E14,IF($B$7="乐观",'分部预测'!E112,'分部预测'!E63))</x:f>
        <x:v>4328.841727941177</x:v>
      </x:c>
      <x:c r="F10" s="33" t="n">
        <x:f>IF($B$7="悲观",'分部预测'!F14,IF($B$7="乐观",'分部预测'!F112,'分部预测'!F63))</x:f>
        <x:v>5116.1553994823535</x:v>
      </x:c>
      <x:c r="J10" t="str">
        <x:v>2030</x:v>
      </x:c>
      <x:c r="K10" s="45" t="n">
        <x:f>F10</x:f>
        <x:v>5116.1553994823535</x:v>
      </x:c>
    </x:row>
    <x:row r="11">
      <x:c r="A11" s="37" t="str">
        <x:v>归母净利润（百万元）</x:v>
      </x:c>
      <x:c r="B11" s="34" t="n">
        <x:f>IF($B$7="悲观",'分部预测'!B43,IF($B$7="乐观",'分部预测'!B141,'分部预测'!B92))</x:f>
        <x:v>38.53719536400002</x:v>
      </x:c>
      <x:c r="C11" s="34" t="n">
        <x:f>IF($B$7="悲观",'分部预测'!C43,IF($B$7="乐观",'分部预测'!C141,'分部预测'!C92))</x:f>
        <x:v>371.6478719999999</x:v>
      </x:c>
      <x:c r="D11" s="34" t="n">
        <x:f>IF($B$7="悲观",'分部预测'!D43,IF($B$7="乐观",'分部预测'!D141,'分部预测'!D92))</x:f>
        <x:v>510.84538912617404</x:v>
      </x:c>
      <x:c r="E11" s="34" t="n">
        <x:f>IF($B$7="悲观",'分部预测'!E43,IF($B$7="乐观",'分部预测'!E141,'分部预测'!E92))</x:f>
        <x:v>657.2872463235294</x:v>
      </x:c>
      <x:c r="F11" s="34" t="n">
        <x:f>IF($B$7="悲观",'分部预测'!F43,IF($B$7="乐观",'分部预测'!F141,'分部预测'!F92))</x:f>
        <x:v>817.1168638637555</x:v>
      </x:c>
    </x:row>
    <x:row r="12">
      <x:c r="A12" s="37" t="str">
        <x:v>EPS（元/股）</x:v>
      </x:c>
      <x:c r="B12" s="35" t="n">
        <x:f>IF($B$7="悲观",'分部预测'!B45,IF($B$7="乐观",'分部预测'!B143,'分部预测'!B94))</x:f>
        <x:v>0.09706397402790079</x:v>
      </x:c>
      <x:c r="C12" s="35" t="n">
        <x:f>IF($B$7="悲观",'分部预测'!C45,IF($B$7="乐观",'分部预测'!C143,'分部预测'!C94))</x:f>
        <x:v>0.9360727747466332</x:v>
      </x:c>
      <x:c r="D12" s="35" t="n">
        <x:f>IF($B$7="悲观",'分部预测'!D45,IF($B$7="乐观",'分部预测'!D143,'分部预测'!D94))</x:f>
        <x:v>1.2866707894559435</x:v>
      </x:c>
      <x:c r="E12" s="35" t="n">
        <x:f>IF($B$7="悲观",'分部预测'!E45,IF($B$7="乐观",'分部预测'!E143,'分部预测'!E94))</x:f>
        <x:v>1.6555151874289225</x:v>
      </x:c>
      <x:c r="F12" s="35" t="n">
        <x:f>IF($B$7="悲观",'分部预测'!F45,IF($B$7="乐观",'分部预测'!F143,'分部预测'!F94))</x:f>
        <x:v>2.0580794555153883</x:v>
      </x:c>
    </x:row>
    <x:row r="13">
      <x:c r="A13" s="37" t="str">
        <x:v>综合毛利率</x:v>
      </x:c>
      <x:c r="B13" s="36" t="n">
        <x:f>IF($B$7="悲观",'分部预测'!B25,IF($B$7="乐观",'分部预测'!B123,'分部预测'!B74))</x:f>
        <x:v>0.2418131590191057</x:v>
      </x:c>
      <x:c r="C13" s="36" t="n">
        <x:f>IF($B$7="悲观",'分部预测'!C25,IF($B$7="乐观",'分部预测'!C123,'分部预测'!C74))</x:f>
        <x:v>0.29629261889300845</x:v>
      </x:c>
      <x:c r="D13" s="36" t="n">
        <x:f>IF($B$7="悲观",'分部预测'!D25,IF($B$7="乐观",'分部预测'!D123,'分部预测'!D74))</x:f>
        <x:v>0.30656969459505473</x:v>
      </x:c>
      <x:c r="E13" s="36" t="n">
        <x:f>IF($B$7="悲观",'分部预测'!E25,IF($B$7="乐观",'分部预测'!E123,'分部预测'!E74))</x:f>
        <x:v>0.3138241656223503</x:v>
      </x:c>
      <x:c r="F13" s="36" t="n">
        <x:f>IF($B$7="悲观",'分部预测'!F25,IF($B$7="乐观",'分部预测'!F123,'分部预测'!F74))</x:f>
        <x:v>0.31953174880851165</x:v>
      </x:c>
    </x:row>
    <x:row r="14">
      <x:c r="A14" s="37" t="str">
        <x:v>消费电子收入（百万元）</x:v>
      </x:c>
      <x:c r="B14" s="33" t="n">
        <x:f>IF($B$7="悲观",'分部预测'!B15,IF($B$7="乐观",'分部预测'!B113,'分部预测'!B64))</x:f>
        <x:v>225.461075</x:v>
      </x:c>
      <x:c r="C14" s="33" t="n">
        <x:f>IF($B$7="悲观",'分部预测'!C15,IF($B$7="乐观",'分部预测'!C113,'分部预测'!C64))</x:f>
        <x:v>2404.34</x:v>
      </x:c>
      <x:c r="D14" s="33" t="n">
        <x:f>IF($B$7="悲观",'分部预测'!D15,IF($B$7="乐观",'分部预测'!D113,'分部预测'!D64))</x:f>
        <x:v>3096.5823442823526</x:v>
      </x:c>
      <x:c r="E14" s="33" t="n">
        <x:f>IF($B$7="悲观",'分部预测'!E15,IF($B$7="乐观",'分部预测'!E113,'分部预测'!E64))</x:f>
        <x:v>3828.841727941177</x:v>
      </x:c>
      <x:c r="F14" s="33" t="n">
        <x:f>IF($B$7="悲观",'分部预测'!F15,IF($B$7="乐观",'分部预测'!F113,'分部预测'!F64))</x:f>
        <x:v>4596.1553994823535</x:v>
      </x:c>
    </x:row>
    <x:row r="15">
      <x:c r="A15" s="37" t="str">
        <x:v>其中：加工</x:v>
      </x:c>
      <x:c r="B15" s="33" t="n">
        <x:f>IF($B$7="悲观",'分部预测'!B7,IF($B$7="乐观",'分部预测'!B105,'分部预测'!B56))</x:f>
        <x:v>98.35350000000001</x:v>
      </x:c>
      <x:c r="C15" s="33" t="n">
        <x:f>IF($B$7="悲观",'分部预测'!C7,IF($B$7="乐观",'分部预测'!C105,'分部预测'!C56))</x:f>
        <x:v>655.1999999999999</x:v>
      </x:c>
      <x:c r="D15" s="33" t="n">
        <x:f>IF($B$7="悲观",'分部预测'!D7,IF($B$7="乐观",'分部预测'!D105,'分部预测'!D56))</x:f>
        <x:v>990.6623999999999</x:v>
      </x:c>
      <x:c r="E15" s="33" t="n">
        <x:f>IF($B$7="悲观",'分部预测'!E7,IF($B$7="乐观",'分部预测'!E105,'分部预测'!E56))</x:f>
        <x:v>1269.6750000000002</x:v>
      </x:c>
      <x:c r="F15" s="33" t="n">
        <x:f>IF($B$7="悲观",'分部预测'!F7,IF($B$7="乐观",'分部预测'!F105,'分部预测'!F56))</x:f>
        <x:v>1527.4116000000004</x:v>
      </x:c>
    </x:row>
    <x:row r="16">
      <x:c r="A16" s="37" t="str">
        <x:v>外售切割线</x:v>
      </x:c>
      <x:c r="B16" s="33" t="n">
        <x:f>IF($B$7="悲观",'分部预测'!B8,IF($B$7="乐观",'分部预测'!B106,'分部预测'!B57))</x:f>
        <x:v>2.107575</x:v>
      </x:c>
      <x:c r="C16" s="33" t="n">
        <x:f>IF($B$7="悲观",'分部预测'!C8,IF($B$7="乐观",'分部预测'!C106,'分部预测'!C57))</x:f>
        <x:v>49.14</x:v>
      </x:c>
      <x:c r="D16" s="33" t="n">
        <x:f>IF($B$7="悲观",'分部预测'!D8,IF($B$7="乐观",'分部预测'!D106,'分部预测'!D57))</x:f>
        <x:v>44.1552384</x:v>
      </x:c>
      <x:c r="E16" s="33" t="n">
        <x:f>IF($B$7="悲观",'分部预测'!E8,IF($B$7="乐观",'分部预测'!E106,'分部预测'!E57))</x:f>
        <x:v>43.284375000000004</x:v>
      </x:c>
      <x:c r="F16" s="33" t="n">
        <x:f>IF($B$7="悲观",'分部预测'!F8,IF($B$7="乐观",'分部预测'!F106,'分部预测'!F57))</x:f>
        <x:v>56.97909360000001</x:v>
      </x:c>
    </x:row>
    <x:row r="17">
      <x:c r="A17" s="37" t="str">
        <x:v>设备</x:v>
      </x:c>
      <x:c r="B17" s="33" t="n">
        <x:f>IF($B$7="悲观",'分部预测'!B11,IF($B$7="乐观",'分部预测'!B109,'分部预测'!B60))</x:f>
        <x:v>100</x:v>
      </x:c>
      <x:c r="C17" s="33" t="n">
        <x:f>IF($B$7="悲观",'分部预测'!C11,IF($B$7="乐观",'分部预测'!C109,'分部预测'!C60))</x:f>
        <x:v>1200</x:v>
      </x:c>
      <x:c r="D17" s="33" t="n">
        <x:f>IF($B$7="悲观",'分部预测'!D11,IF($B$7="乐观",'分部预测'!D109,'分部预测'!D60))</x:f>
        <x:v>1350</x:v>
      </x:c>
      <x:c r="E17" s="33" t="n">
        <x:f>IF($B$7="悲观",'分部预测'!E11,IF($B$7="乐观",'分部预测'!E109,'分部预测'!E60))</x:f>
        <x:v>1560</x:v>
      </x:c>
      <x:c r="F17" s="33" t="n">
        <x:f>IF($B$7="悲观",'分部预测'!F11,IF($B$7="乐观",'分部预测'!F109,'分部预测'!F60))</x:f>
        <x:v>1600</x:v>
      </x:c>
    </x:row>
    <x:row r="18">
      <x:c r="A18" s="37" t="str">
        <x:v>耗材</x:v>
      </x:c>
      <x:c r="B18" s="33" t="n">
        <x:f>IF($B$7="悲观",'分部预测'!B12,IF($B$7="乐观",'分部预测'!B110,'分部预测'!B61))</x:f>
        <x:v>25</x:v>
      </x:c>
      <x:c r="C18" s="33" t="n">
        <x:f>IF($B$7="悲观",'分部预测'!C12,IF($B$7="乐观",'分部预测'!C110,'分部预测'!C61))</x:f>
        <x:v>500</x:v>
      </x:c>
      <x:c r="D18" s="33" t="n">
        <x:f>IF($B$7="悲观",'分部预测'!D12,IF($B$7="乐观",'分部预测'!D110,'分部预测'!D61))</x:f>
        <x:v>711.7647058823528</x:v>
      </x:c>
      <x:c r="E18" s="33" t="n">
        <x:f>IF($B$7="悲观",'分部预测'!E12,IF($B$7="乐观",'分部预测'!E110,'分部预测'!E61))</x:f>
        <x:v>955.8823529411765</x:v>
      </x:c>
      <x:c r="F18" s="33" t="n">
        <x:f>IF($B$7="悲观",'分部预测'!F12,IF($B$7="乐观",'分部预测'!F110,'分部预测'!F61))</x:f>
        <x:v>1411.764705882353</x:v>
      </x:c>
    </x:row>
    <x:row r="19">
      <x:c r="A19" s="37" t="str">
        <x:v>消费电子收入占比</x:v>
      </x:c>
      <x:c r="B19" s="36" t="n">
        <x:f>IF($B$7="悲观",'分部预测'!B16,IF($B$7="乐观",'分部预测'!B114,'分部预测'!B65))</x:f>
        <x:v>0.3388043019646191</x:v>
      </x:c>
      <x:c r="C19" s="36" t="n">
        <x:f>IF($B$7="悲观",'分部预测'!C16,IF($B$7="乐观",'分部预测'!C114,'分部预测'!C65))</x:f>
        <x:v>0.8394045399638311</x:v>
      </x:c>
      <x:c r="D19" s="36" t="n">
        <x:f>IF($B$7="悲观",'分部预测'!D16,IF($B$7="乐观",'分部预测'!D114,'分部预测'!D65))</x:f>
        <x:v>0.8657936673071865</x:v>
      </x:c>
      <x:c r="E19" s="36" t="n">
        <x:f>IF($B$7="悲观",'分部预测'!E16,IF($B$7="乐观",'分部预测'!E114,'分部预测'!E65))</x:f>
        <x:v>0.8844956615593791</x:v>
      </x:c>
      <x:c r="F19" s="36" t="n">
        <x:f>IF($B$7="悲观",'分部预测'!F16,IF($B$7="乐观",'分部预测'!F114,'分部预测'!F65))</x:f>
        <x:v>0.898361179558265</x:v>
      </x:c>
    </x:row>
    <x:row r="20">
      <x:c r="A20" s="37" t="str">
        <x:v>内部收入抵销（百万元）</x:v>
      </x:c>
      <x:c r="B20" s="33" t="n">
        <x:f>IF($B$7="悲观",'分部预测'!B17,IF($B$7="乐观",'分部预测'!B115,'分部预测'!B66))</x:f>
        <x:v>1.4050500000000001</x:v>
      </x:c>
      <x:c r="C20" s="33" t="n">
        <x:f>IF($B$7="悲观",'分部预测'!C17,IF($B$7="乐观",'分部预测'!C115,'分部预测'!C66))</x:f>
        <x:v>16.38</x:v>
      </x:c>
      <x:c r="D20" s="33" t="n">
        <x:f>IF($B$7="悲观",'分部预测'!D17,IF($B$7="乐观",'分部预测'!D115,'分部预测'!D66))</x:f>
        <x:v>17.171481600000003</x:v>
      </x:c>
      <x:c r="E20" s="33" t="n">
        <x:f>IF($B$7="悲观",'分部预测'!E17,IF($B$7="乐观",'分部预测'!E115,'分部预测'!E66))</x:f>
        <x:v>14.428125000000001</x:v>
      </x:c>
      <x:c r="F20" s="33" t="n">
        <x:f>IF($B$7="悲观",'分部预测'!F17,IF($B$7="乐观",'分部预测'!F115,'分部预测'!F66))</x:f>
        <x:v>16.0710264</x:v>
      </x:c>
    </x:row>
    <x:row r="22" ht="22" customHeight="1">
      <x:c r="A22" s="10" t="str">
        <x:v>核心结论</x:v>
      </x:c>
      <x:c r="B22" s="10"/>
      <x:c r="C22" s="10"/>
      <x:c r="D22" s="10"/>
      <x:c r="E22" s="10"/>
      <x:c r="F22" s="10"/>
      <x:c r="G22" s="10"/>
      <x:c r="H22" s="10"/>
    </x:row>
    <x:row r="23" ht="34" customHeight="1">
      <x:c r="A23" s="42" t="str">
        <x:v>1</x:v>
      </x:c>
      <x:c r="B23" s="44" t="str">
        <x:v>网页口径</x:v>
      </x:c>
      <x:c r="C23" s="39" t="str">
        <x:v>消费电子切割、加工、设备与耗材一体化深度研究；2026H1财务与分部数据采用半年报实际，本工作簿与当前网页模型同步。</x:v>
      </x:c>
      <x:c r="D23" s="39" t="str"/>
      <x:c r="E23" s="39" t="str"/>
      <x:c r="F23" s="39" t="str"/>
      <x:c r="G23" s="39" t="str"/>
      <x:c r="H23" s="39" t="str"/>
    </x:row>
    <x:row r="24" ht="34" customHeight="1">
      <x:c r="A24" s="42" t="str">
        <x:v>2</x:v>
      </x:c>
      <x:c r="B24" s="44" t="str">
        <x:v>加工基准</x:v>
      </x:c>
      <x:c r="C24" s="39" t="str">
        <x:v>2026H1消费电子及加工收入37.23百万元、毛利率35.85%；基准情景2026E切割加工收入0.98亿元。</x:v>
      </x:c>
      <x:c r="D24" s="39" t="str"/>
      <x:c r="E24" s="39" t="str"/>
      <x:c r="F24" s="39" t="str"/>
      <x:c r="G24" s="39" t="str"/>
      <x:c r="H24" s="39" t="str"/>
    </x:row>
    <x:row r="25" ht="34" customHeight="1">
      <x:c r="A25" s="42" t="str">
        <x:v>3</x:v>
      </x:c>
      <x:c r="B25" s="44" t="str">
        <x:v>设备曲线</x:v>
      </x:c>
      <x:c r="C25" s="39" t="str">
        <x:v>基准设备收入2026E—2030E为1.0/12.0/13.5/15.6/16.0亿元；2027E耗材可争取池25亿元、份额20%、收入5.0亿元。</x:v>
      </x:c>
      <x:c r="D25" s="39" t="str"/>
      <x:c r="E25" s="39" t="str"/>
      <x:c r="F25" s="39" t="str"/>
      <x:c r="G25" s="39" t="str"/>
      <x:c r="H25" s="39" t="str"/>
    </x:row>
    <x:row r="26" ht="34" customHeight="1">
      <x:c r="A26" s="42" t="str">
        <x:v>4</x:v>
      </x:c>
      <x:c r="B26" s="44" t="str">
        <x:v>归属口径</x:v>
      </x:c>
      <x:c r="C26" s="39" t="str">
        <x:v>少数股东损益已改为各分部毛利减分摊费用、扣税后的归属利润×少数股东比例；不再使用旧版单独净利率假设。</x:v>
      </x:c>
      <x:c r="D26" s="39" t="str"/>
      <x:c r="E26" s="39" t="str"/>
      <x:c r="F26" s="39" t="str"/>
      <x:c r="G26" s="39" t="str"/>
      <x:c r="H26" s="39" t="str"/>
    </x:row>
    <x:row r="27" ht="34" customHeight="1">
      <x:c r="A27" s="42" t="str">
        <x:v>5</x:v>
      </x:c>
      <x:c r="B27" s="44" t="str">
        <x:v>估值基准</x:v>
      </x:c>
      <x:c r="C27" s="39" t="str">
        <x:v>网页2027E基准分部估值折现后权益价值约127.1亿元、隐含价格约32.01元/股；远期期权单列。</x:v>
      </x:c>
      <x:c r="D27" s="39" t="str"/>
      <x:c r="E27" s="39" t="str"/>
      <x:c r="F27" s="39" t="str"/>
      <x:c r="G27" s="39" t="str"/>
      <x:c r="H27" s="39" t="str"/>
    </x:row>
    <x:row r="28" ht="34" customHeight="1">
      <x:c r="A28" s="42" t="str">
        <x:v>6</x:v>
      </x:c>
      <x:c r="B28" s="44" t="str">
        <x:v>关键风险</x:v>
      </x:c>
      <x:c r="C28" s="39" t="str">
        <x:v>客户与机型、设备合同及验收、耗材验证转量产、加工良率与毛利、少数股东分配及远期期权兑现均存在不确定性。</x:v>
      </x:c>
      <x:c r="D28" s="39" t="str"/>
      <x:c r="E28" s="39" t="str"/>
      <x:c r="F28" s="39" t="str"/>
      <x:c r="G28" s="39" t="str"/>
      <x:c r="H28" s="39" t="str"/>
    </x:row>
  </x:sheetData>
  <x:mergeCells>
    <x:mergeCell ref="A1:Q1"/>
    <x:mergeCell ref="A2:Q2"/>
    <x:mergeCell ref="A4:H4"/>
    <x:mergeCell ref="A5:H5"/>
    <x:mergeCell ref="A22:H22"/>
    <x:mergeCell ref="C23:H23"/>
    <x:mergeCell ref="C24:H24"/>
    <x:mergeCell ref="C25:H25"/>
    <x:mergeCell ref="C26:H26"/>
    <x:mergeCell ref="C27:H27"/>
    <x:mergeCell ref="C28:H28"/>
    <x:mergeCell ref="D7:H7"/>
  </x:mergeCells>
  <x:dataValidations count="1">
    <x:dataValidation type="list" sqref="B7">
      <x:formula1>"悲观,基准,乐观"</x:formula1>
    </x:dataValidation>
  </x:dataValidations>
  <x:pageMargins left="0.7" right="0.7" top="0.75" bottom="0.75" header="0.3" footer="0.3"/>
  <x:drawing xmlns:r="http://schemas.openxmlformats.org/officeDocument/2006/relationships" r:id="Rf2977147f0e14161"/>
</x:worksheet>
</file>

<file path=xl/worksheets/sheet2.xml><?xml version="1.0" encoding="utf-8"?>
<x:worksheet xmlns:x="http://schemas.openxmlformats.org/spreadsheetml/2006/main">
  <x:sheetViews>
    <x:sheetView showGridLines="0" workbookViewId="0"/>
  </x:sheetViews>
  <x:sheetFormatPr defaultRowHeight="15"/>
  <x:cols>
    <x:col min="1" max="1" width="26" hidden="0" customWidth="1"/>
    <x:col min="2" max="2" width="15" hidden="0" customWidth="1"/>
    <x:col min="3" max="3" width="15" hidden="0" customWidth="1"/>
    <x:col min="4" max="4" width="15" hidden="0" customWidth="1"/>
    <x:col min="5" max="5" width="15" hidden="0" customWidth="1"/>
    <x:col min="6" max="6" width="15" hidden="0" customWidth="1"/>
    <x:col min="7" max="7" width="15"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s>
  <x:sheetData>
    <x:row r="1" ht="30" customHeight="1">
      <x:c r="A1" s="3" t="str">
        <x:v>历史财务与业务基准</x:v>
      </x:c>
      <x:c r="B1" s="3"/>
      <x:c r="C1" s="3"/>
      <x:c r="D1" s="3"/>
      <x:c r="E1" s="3"/>
      <x:c r="F1" s="3"/>
      <x:c r="G1" s="3"/>
      <x:c r="H1" s="3"/>
      <x:c r="I1" s="3"/>
      <x:c r="J1" s="3"/>
      <x:c r="K1" s="3"/>
      <x:c r="L1" s="3"/>
      <x:c r="M1" s="3"/>
      <x:c r="N1" s="3"/>
    </x:row>
    <x:row r="2" ht="28" customHeight="1">
      <x:c r="A2" s="7" t="str">
        <x:v>2021–2025年报；2026H1采用2026年半年度报告实际值。金额单位：百万元。</x:v>
      </x:c>
      <x:c r="B2" s="7"/>
      <x:c r="C2" s="7"/>
      <x:c r="D2" s="7"/>
      <x:c r="E2" s="7"/>
      <x:c r="F2" s="7"/>
      <x:c r="G2" s="7"/>
      <x:c r="H2" s="7"/>
      <x:c r="I2" s="7"/>
      <x:c r="J2" s="7"/>
      <x:c r="K2" s="7"/>
      <x:c r="L2" s="7"/>
      <x:c r="M2" s="7"/>
      <x:c r="N2" s="7"/>
    </x:row>
    <x:row r="6">
      <x:c r="A6" s="26" t="str">
        <x:v>指标</x:v>
      </x:c>
      <x:c r="B6" s="26" t="str">
        <x:v>2021A</x:v>
      </x:c>
      <x:c r="C6" s="26" t="str">
        <x:v>2022A</x:v>
      </x:c>
      <x:c r="D6" s="26" t="str">
        <x:v>2023A</x:v>
      </x:c>
      <x:c r="E6" s="26" t="str">
        <x:v>2024A</x:v>
      </x:c>
      <x:c r="F6" s="26" t="str">
        <x:v>2025A</x:v>
      </x:c>
      <x:c r="G6" s="26" t="str">
        <x:v>2026H1</x:v>
      </x:c>
    </x:row>
    <x:row r="7">
      <x:c r="A7" s="32" t="str">
        <x:v>营业收入</x:v>
      </x:c>
      <x:c r="B7" s="53" t="n">
        <x:v>270.702</x:v>
      </x:c>
      <x:c r="C7" s="53" t="n">
        <x:v>642.7</x:v>
      </x:c>
      <x:c r="D7" s="53" t="n">
        <x:v>848.098</x:v>
      </x:c>
      <x:c r="E7" s="53" t="n">
        <x:v>359.302</x:v>
      </x:c>
      <x:c r="F7" s="53" t="n">
        <x:v>449.734</x:v>
      </x:c>
      <x:c r="G7" s="53" t="n">
        <x:v>275.574717</x:v>
      </x:c>
    </x:row>
    <x:row r="8">
      <x:c r="A8" s="32" t="str">
        <x:v>营业成本</x:v>
      </x:c>
      <x:c r="B8" s="54" t="n">
        <x:f>B7*(1-B10)</x:f>
        <x:v>233.2909836</x:v>
      </x:c>
      <x:c r="C8" s="54" t="n">
        <x:f>C7*(1-C10)</x:f>
        <x:v>415.56982000000005</x:v>
      </x:c>
      <x:c r="D8" s="54" t="n">
        <x:f>D7*(1-D10)</x:f>
        <x:v>539.6447574</x:v>
      </x:c>
      <x:c r="E8" s="54" t="n">
        <x:f>E7*(1-E10)</x:f>
        <x:v>381.219422</x:v>
      </x:c>
      <x:c r="F8" s="54" t="n">
        <x:f>F7*(1-F10)</x:f>
        <x:v>443.1229102</x:v>
      </x:c>
      <x:c r="G8" s="54" t="n">
        <x:f>G7*(1-G10)</x:f>
        <x:v>214.70053758941702</x:v>
      </x:c>
    </x:row>
    <x:row r="9">
      <x:c r="A9" s="32" t="str">
        <x:v>毛利</x:v>
      </x:c>
      <x:c r="B9" s="54" t="n">
        <x:f>B7-B8</x:f>
        <x:v>37.411016399999994</x:v>
      </x:c>
      <x:c r="C9" s="54" t="n">
        <x:f>C7-C8</x:f>
        <x:v>227.13018</x:v>
      </x:c>
      <x:c r="D9" s="54" t="n">
        <x:f>D7-D8</x:f>
        <x:v>308.45324259999995</x:v>
      </x:c>
      <x:c r="E9" s="54" t="n">
        <x:f>E7-E8</x:f>
        <x:v>-21.917421999999988</x:v>
      </x:c>
      <x:c r="F9" s="54" t="n">
        <x:f>F7-F8</x:f>
        <x:v>6.611089800000002</x:v>
      </x:c>
      <x:c r="G9" s="54" t="n">
        <x:f>G7-G8</x:f>
        <x:v>60.874179410583</x:v>
      </x:c>
    </x:row>
    <x:row r="10">
      <x:c r="A10" s="32" t="str">
        <x:v>综合毛利率</x:v>
      </x:c>
      <x:c r="B10" s="55" t="n">
        <x:v>0.1382</x:v>
      </x:c>
      <x:c r="C10" s="55" t="n">
        <x:v>0.3534</x:v>
      </x:c>
      <x:c r="D10" s="55" t="n">
        <x:v>0.3637</x:v>
      </x:c>
      <x:c r="E10" s="55" t="n">
        <x:v>-0.061</x:v>
      </x:c>
      <x:c r="F10" s="55" t="n">
        <x:v>0.0147</x:v>
      </x:c>
      <x:c r="G10" s="55" t="n">
        <x:v>0.220899</x:v>
      </x:c>
    </x:row>
    <x:row r="11">
      <x:c r="A11" s="32" t="str">
        <x:v>归母净利润</x:v>
      </x:c>
      <x:c r="B11" s="56" t="n">
        <x:v>-78.122</x:v>
      </x:c>
      <x:c r="C11" s="56" t="n">
        <x:v>90.961</x:v>
      </x:c>
      <x:c r="D11" s="56" t="n">
        <x:v>112.457</x:v>
      </x:c>
      <x:c r="E11" s="56" t="n">
        <x:v>-243.616</x:v>
      </x:c>
      <x:c r="F11" s="56" t="n">
        <x:v>-192.755</x:v>
      </x:c>
      <x:c r="G11" s="56" t="n">
        <x:v>7.941931</x:v>
      </x:c>
    </x:row>
    <x:row r="12">
      <x:c r="A12" s="32" t="str">
        <x:v>扣非净利润</x:v>
      </x:c>
      <x:c r="B12" s="56" t="n">
        <x:v>-81.364</x:v>
      </x:c>
      <x:c r="C12" s="56" t="n">
        <x:v>88.675</x:v>
      </x:c>
      <x:c r="D12" s="56" t="n">
        <x:v>109.576</x:v>
      </x:c>
      <x:c r="E12" s="56" t="n">
        <x:v>-246.716</x:v>
      </x:c>
      <x:c r="F12" s="56" t="n">
        <x:v>-195.825</x:v>
      </x:c>
      <x:c r="G12" s="56" t="n">
        <x:v>6.494016</x:v>
      </x:c>
    </x:row>
    <x:row r="13">
      <x:c r="A13" s="32" t="str">
        <x:v>经营现金流</x:v>
      </x:c>
      <x:c r="B13" s="56" t="n">
        <x:v>29.7</x:v>
      </x:c>
      <x:c r="C13" s="56" t="n">
        <x:v>15.687</x:v>
      </x:c>
      <x:c r="D13" s="56" t="n">
        <x:v>32.692</x:v>
      </x:c>
      <x:c r="E13" s="56" t="n">
        <x:v>192.341</x:v>
      </x:c>
      <x:c r="F13" s="56" t="n">
        <x:v>-75.25</x:v>
      </x:c>
      <x:c r="G13" s="56" t="n">
        <x:v>26.61553</x:v>
      </x:c>
    </x:row>
    <x:row r="14">
      <x:c r="A14" s="32" t="str">
        <x:v>总资产</x:v>
      </x:c>
      <x:c r="B14" s="56" t="n">
        <x:v>1095.309</x:v>
      </x:c>
      <x:c r="C14" s="56" t="n">
        <x:v>1531.866</x:v>
      </x:c>
      <x:c r="D14" s="56" t="n">
        <x:v>2160.746</x:v>
      </x:c>
      <x:c r="E14" s="56" t="n">
        <x:v>1716.867</x:v>
      </x:c>
      <x:c r="F14" s="56" t="n">
        <x:v>1613.826</x:v>
      </x:c>
      <x:c r="G14" s="56" t="n">
        <x:v>1546.941024</x:v>
      </x:c>
    </x:row>
    <x:row r="15">
      <x:c r="A15" s="32" t="str">
        <x:v>总负债</x:v>
      </x:c>
      <x:c r="B15" s="56" t="n">
        <x:v>641.181</x:v>
      </x:c>
      <x:c r="C15" s="56" t="n">
        <x:v>779.468</x:v>
      </x:c>
      <x:c r="D15" s="56" t="n">
        <x:v>864.632</x:v>
      </x:c>
      <x:c r="E15" s="56" t="n">
        <x:v>765.487</x:v>
      </x:c>
      <x:c r="F15" s="56" t="n">
        <x:v>839.679</x:v>
      </x:c>
      <x:c r="G15" s="56" t="n">
        <x:v>765.724618</x:v>
      </x:c>
    </x:row>
    <x:row r="16">
      <x:c r="A16" s="32" t="str">
        <x:v>归母净资产</x:v>
      </x:c>
      <x:c r="B16" s="56" t="n">
        <x:v>455.424</x:v>
      </x:c>
      <x:c r="C16" s="56" t="n">
        <x:v>754.451</x:v>
      </x:c>
      <x:c r="D16" s="56" t="n">
        <x:v>1282.031</x:v>
      </x:c>
      <x:c r="E16" s="56" t="n">
        <x:v>939.966</x:v>
      </x:c>
      <x:c r="F16" s="56" t="n">
        <x:v>768.984</x:v>
      </x:c>
      <x:c r="G16" s="56" t="n">
        <x:v>776.926059</x:v>
      </x:c>
    </x:row>
    <x:row r="17">
      <x:c r="A17" s="32" t="str">
        <x:v>资产负债率</x:v>
      </x:c>
      <x:c r="B17" s="57" t="n">
        <x:f>B15/B14</x:f>
        <x:v>0.5853882329096174</x:v>
      </x:c>
      <x:c r="C17" s="57" t="n">
        <x:f>C15/C14</x:f>
        <x:v>0.508835629226055</x:v>
      </x:c>
      <x:c r="D17" s="57" t="n">
        <x:f>D15/D14</x:f>
        <x:v>0.4001543911223253</x:v>
      </x:c>
      <x:c r="E17" s="57" t="n">
        <x:f>E15/E14</x:f>
        <x:v>0.44586272553435996</x:v>
      </x:c>
      <x:c r="F17" s="57" t="n">
        <x:f>F15/F14</x:f>
        <x:v>0.5203033040736733</x:v>
      </x:c>
      <x:c r="G17" s="57" t="n">
        <x:f>G15/G14</x:f>
        <x:v>0.4949927670933627</x:v>
      </x:c>
    </x:row>
    <x:row r="18">
      <x:c r="A18" s="32" t="str">
        <x:v>资本开支</x:v>
      </x:c>
      <x:c r="B18" s="53" t="n">
        <x:v>47.517</x:v>
      </x:c>
      <x:c r="C18" s="53" t="n">
        <x:v>111.483</x:v>
      </x:c>
      <x:c r="D18" s="53" t="n">
        <x:v>87.522</x:v>
      </x:c>
      <x:c r="E18" s="53" t="n">
        <x:v>28.97</x:v>
      </x:c>
      <x:c r="F18" s="53" t="n">
        <x:v>32.527</x:v>
      </x:c>
      <x:c r="G18" s="53" t="n">
        <x:v>2.385061</x:v>
      </x:c>
    </x:row>
    <x:row r="21" ht="22" customHeight="1">
      <x:c r="A21" s="10" t="str">
        <x:v>2026H1最新实际</x:v>
      </x:c>
      <x:c r="B21" s="10"/>
      <x:c r="C21" s="10"/>
      <x:c r="D21" s="10"/>
      <x:c r="E21" s="10"/>
      <x:c r="F21" s="10"/>
      <x:c r="G21" s="10"/>
    </x:row>
    <x:row r="22">
      <x:c r="A22" s="38" t="str">
        <x:v>H1归母净利润</x:v>
      </x:c>
      <x:c r="B22" s="38" t="n">
        <x:v>7.941931</x:v>
      </x:c>
      <x:c r="C22" s="38" t="str">
        <x:v>百万元</x:v>
      </x:c>
      <x:c r="D22" s="38" t="str">
        <x:v>同比扭亏；预告区间7.5—8.5百万元</x:v>
      </x:c>
      <x:c r="E22" s="38" t="str"/>
      <x:c r="F22" s="38" t="str"/>
      <x:c r="G22" s="38" t="str"/>
    </x:row>
    <x:row r="23">
      <x:c r="A23" s="38" t="str">
        <x:v>H1扣非净利润</x:v>
      </x:c>
      <x:c r="B23" s="38" t="n">
        <x:v>6.494016</x:v>
      </x:c>
      <x:c r="C23" s="38" t="str">
        <x:v>百万元</x:v>
      </x:c>
      <x:c r="D23" s="38" t="str">
        <x:v>同比扭亏；半年报实际值</x:v>
      </x:c>
      <x:c r="E23" s="38" t="str"/>
      <x:c r="F23" s="38" t="str"/>
      <x:c r="G23" s="38" t="str"/>
    </x:row>
    <x:row r="24">
      <x:c r="A24" s="38" t="str">
        <x:v>H1综合毛利率</x:v>
      </x:c>
      <x:c r="B24" s="58" t="n">
        <x:v>0.220899</x:v>
      </x:c>
      <x:c r="C24" s="38"/>
      <x:c r="D24" s="38" t="str">
        <x:v>消费电子及加工分部毛利率35.85%</x:v>
      </x:c>
      <x:c r="E24" s="38" t="str"/>
      <x:c r="F24" s="38" t="str"/>
      <x:c r="G24" s="38" t="str"/>
    </x:row>
    <x:row r="27" ht="22" customHeight="1">
      <x:c r="A27" s="10" t="str">
        <x:v>2026H1分部</x:v>
      </x:c>
      <x:c r="B27" s="10"/>
      <x:c r="C27" s="10"/>
      <x:c r="D27" s="10"/>
      <x:c r="E27" s="10"/>
      <x:c r="F27" s="10"/>
      <x:c r="G27" s="10"/>
    </x:row>
    <x:row r="28">
      <x:c r="A28" s="26" t="str">
        <x:v>分部</x:v>
      </x:c>
      <x:c r="B28" s="26" t="str">
        <x:v>收入</x:v>
      </x:c>
      <x:c r="C28" s="26" t="str">
        <x:v>成本</x:v>
      </x:c>
      <x:c r="D28" s="26" t="str">
        <x:v>毛利</x:v>
      </x:c>
      <x:c r="E28" s="26" t="str">
        <x:v>毛利率</x:v>
      </x:c>
      <x:c r="F28" s="79" t="str">
        <x:v>2026H1消费电子及加工收入37.23百万元、毛利率35.85%；惠州加工平台收入35.26百万元、净利润7.43百万元。其他业务收入111.65百万元，具体构成仍待年报进一步拆分。</x:v>
      </x:c>
      <x:c r="G28" s="79"/>
      <x:c r="H28" s="79"/>
      <x:c r="I28" s="79"/>
      <x:c r="J28" s="79"/>
      <x:c r="K28" s="79"/>
      <x:c r="L28" s="79"/>
      <x:c r="M28" s="79"/>
      <x:c r="N28" s="79"/>
    </x:row>
    <x:row r="29">
      <x:c r="A29" s="32" t="str">
        <x:v>金刚石线</x:v>
      </x:c>
      <x:c r="B29" s="56" t="n">
        <x:v>123.623303</x:v>
      </x:c>
      <x:c r="C29" s="56" t="n">
        <x:v>103.214815</x:v>
      </x:c>
      <x:c r="D29" s="60" t="n">
        <x:f>B29-C29</x:f>
        <x:v>20.408488000000006</x:v>
      </x:c>
      <x:c r="E29" s="57" t="n">
        <x:f>D29/B29</x:f>
        <x:v>0.16508609222324375</x:v>
      </x:c>
      <x:c r="F29" s="79"/>
      <x:c r="G29" s="79"/>
      <x:c r="H29" s="79"/>
      <x:c r="I29" s="79"/>
      <x:c r="J29" s="79"/>
      <x:c r="K29" s="79"/>
      <x:c r="L29" s="79"/>
      <x:c r="M29" s="79"/>
      <x:c r="N29" s="79"/>
    </x:row>
    <x:row r="30">
      <x:c r="A30" s="32" t="str">
        <x:v>消费电子及加工</x:v>
      </x:c>
      <x:c r="B30" s="56" t="n">
        <x:v>37.230148</x:v>
      </x:c>
      <x:c r="C30" s="56" t="n">
        <x:v>23.884166</x:v>
      </x:c>
      <x:c r="D30" s="60" t="n">
        <x:f>B30-C30</x:f>
        <x:v>13.345982</x:v>
      </x:c>
      <x:c r="E30" s="57" t="n">
        <x:f>D30/B30</x:f>
        <x:v>0.35847244013104645</x:v>
      </x:c>
      <x:c r="F30" s="79"/>
      <x:c r="G30" s="79"/>
      <x:c r="H30" s="79"/>
      <x:c r="I30" s="79"/>
      <x:c r="J30" s="79"/>
      <x:c r="K30" s="79"/>
      <x:c r="L30" s="79"/>
      <x:c r="M30" s="79"/>
      <x:c r="N30" s="79"/>
    </x:row>
    <x:row r="31">
      <x:c r="A31" s="32" t="str">
        <x:v>其他产品</x:v>
      </x:c>
      <x:c r="B31" s="56" t="n">
        <x:v>3.072336</x:v>
      </x:c>
      <x:c r="C31" s="56" t="n">
        <x:v>3.136893</x:v>
      </x:c>
      <x:c r="D31" s="60" t="n">
        <x:f>B31-C31</x:f>
        <x:v>-0.0645570000000002</x:v>
      </x:c>
      <x:c r="E31" s="57" t="n">
        <x:f>D31/B31</x:f>
        <x:v>-0.02101235021169566</x:v>
      </x:c>
      <x:c r="F31" s="79"/>
      <x:c r="G31" s="79"/>
      <x:c r="H31" s="79"/>
      <x:c r="I31" s="79"/>
      <x:c r="J31" s="79"/>
      <x:c r="K31" s="79"/>
      <x:c r="L31" s="79"/>
      <x:c r="M31" s="79"/>
      <x:c r="N31" s="79"/>
    </x:row>
    <x:row r="32">
      <x:c r="A32" s="32" t="str">
        <x:v>其他业务</x:v>
      </x:c>
      <x:c r="B32" s="56" t="n">
        <x:v>111.648929</x:v>
      </x:c>
      <x:c r="C32" s="56" t="n">
        <x:v>84.464619</x:v>
      </x:c>
      <x:c r="D32" s="60" t="n">
        <x:f>B32-C32</x:f>
        <x:v>27.184309999999996</x:v>
      </x:c>
      <x:c r="E32" s="57" t="n">
        <x:f>D32/B32</x:f>
        <x:v>0.24348025765656917</x:v>
      </x:c>
      <x:c r="F32" s="79"/>
      <x:c r="G32" s="79"/>
      <x:c r="H32" s="79"/>
      <x:c r="I32" s="79"/>
      <x:c r="J32" s="79"/>
      <x:c r="K32" s="79"/>
      <x:c r="L32" s="79"/>
      <x:c r="M32" s="79"/>
      <x:c r="N32" s="79"/>
    </x:row>
    <x:row r="33">
      <x:c r="A33" s="69" t="str">
        <x:v>合计</x:v>
      </x:c>
      <x:c r="B33" s="70" t="n">
        <x:v>275.574717</x:v>
      </x:c>
      <x:c r="C33" s="70" t="n">
        <x:v>214.700493</x:v>
      </x:c>
      <x:c r="D33" s="71" t="n">
        <x:f>SUM(D29:D32)</x:f>
        <x:v>60.874223</x:v>
      </x:c>
      <x:c r="E33" s="72" t="n">
        <x:f>D33/B33</x:f>
        <x:v>0.22089915817640118</x:v>
      </x:c>
    </x:row>
    <x:row r="36" ht="22" customHeight="1">
      <x:c r="A36" s="10" t="str">
        <x:v>金刚石线量价趋势</x:v>
      </x:c>
      <x:c r="B36" s="10"/>
      <x:c r="C36" s="10"/>
      <x:c r="D36" s="10"/>
      <x:c r="E36" s="10"/>
      <x:c r="F36" s="10"/>
      <x:c r="G36" s="10"/>
    </x:row>
    <x:row r="37">
      <x:c r="A37" s="26" t="str">
        <x:v>年度</x:v>
      </x:c>
      <x:c r="B37" s="26" t="str">
        <x:v>销量（百万公里）</x:v>
      </x:c>
      <x:c r="C37" s="26" t="str">
        <x:v>产量（百万公里）</x:v>
      </x:c>
      <x:c r="D37" s="26" t="str">
        <x:v>隐含均价（元/公里）</x:v>
      </x:c>
      <x:c r="F37" s="81" t="str">
        <x:v>隐含均价=金刚石线收入÷销量。不同线径、基材和应用差异很大，只用于趋势判断。2025年隐含均价约19.46元/公里；最后获年报明确确认的名义产能为2023年末600万公里/月。</x:v>
      </x:c>
      <x:c r="G37" s="81"/>
      <x:c r="H37" s="81"/>
      <x:c r="I37" s="81"/>
      <x:c r="J37" s="81"/>
      <x:c r="K37" s="81"/>
      <x:c r="L37" s="81"/>
      <x:c r="M37" s="81"/>
      <x:c r="N37" s="81"/>
    </x:row>
    <x:row r="38">
      <x:c r="A38" s="32" t="n">
        <x:v>2021</x:v>
      </x:c>
      <x:c r="B38" s="75" t="n">
        <x:v>3.357</x:v>
      </x:c>
      <x:c r="C38" s="75" t="n">
        <x:v>3.684</x:v>
      </x:c>
      <x:c r="D38" s="76" t="n">
        <x:f>261.724/B38</x:f>
        <x:v>77.96365802800118</x:v>
      </x:c>
      <x:c r="F38" s="81"/>
      <x:c r="G38" s="81"/>
      <x:c r="H38" s="81"/>
      <x:c r="I38" s="81"/>
      <x:c r="J38" s="81"/>
      <x:c r="K38" s="81"/>
      <x:c r="L38" s="81"/>
      <x:c r="M38" s="81"/>
      <x:c r="N38" s="81"/>
    </x:row>
    <x:row r="39">
      <x:c r="A39" s="32" t="n">
        <x:v>2022</x:v>
      </x:c>
      <x:c r="B39" s="75" t="n">
        <x:v>13.102</x:v>
      </x:c>
      <x:c r="C39" s="75" t="n">
        <x:v>14.478</x:v>
      </x:c>
      <x:c r="D39" s="76" t="n">
        <x:f>625.432/B39</x:f>
        <x:v>47.735612883529235</x:v>
      </x:c>
      <x:c r="F39" s="81"/>
      <x:c r="G39" s="81"/>
      <x:c r="H39" s="81"/>
      <x:c r="I39" s="81"/>
      <x:c r="J39" s="81"/>
      <x:c r="K39" s="81"/>
      <x:c r="L39" s="81"/>
      <x:c r="M39" s="81"/>
      <x:c r="N39" s="81"/>
    </x:row>
    <x:row r="40">
      <x:c r="A40" s="32" t="n">
        <x:v>2023</x:v>
      </x:c>
      <x:c r="B40" s="75" t="n">
        <x:v>23.89</x:v>
      </x:c>
      <x:c r="C40" s="75" t="n">
        <x:v>25.145</x:v>
      </x:c>
      <x:c r="D40" s="76" t="n">
        <x:f>814.637/B40</x:f>
        <x:v>34.099497697781494</x:v>
      </x:c>
      <x:c r="F40" s="81"/>
      <x:c r="G40" s="81"/>
      <x:c r="H40" s="81"/>
      <x:c r="I40" s="81"/>
      <x:c r="J40" s="81"/>
      <x:c r="K40" s="81"/>
      <x:c r="L40" s="81"/>
      <x:c r="M40" s="81"/>
      <x:c r="N40" s="81"/>
    </x:row>
    <x:row r="41">
      <x:c r="A41" s="32" t="n">
        <x:v>2024</x:v>
      </x:c>
      <x:c r="B41" s="75" t="n">
        <x:v>18.335</x:v>
      </x:c>
      <x:c r="C41" s="75" t="n">
        <x:v>18.418</x:v>
      </x:c>
      <x:c r="D41" s="76" t="n">
        <x:f>299.109/B41</x:f>
        <x:v>16.31355331333515</x:v>
      </x:c>
      <x:c r="F41" s="81"/>
      <x:c r="G41" s="81"/>
      <x:c r="H41" s="81"/>
      <x:c r="I41" s="81"/>
      <x:c r="J41" s="81"/>
      <x:c r="K41" s="81"/>
      <x:c r="L41" s="81"/>
      <x:c r="M41" s="81"/>
      <x:c r="N41" s="81"/>
    </x:row>
    <x:row r="42">
      <x:c r="A42" s="32" t="n">
        <x:v>2025</x:v>
      </x:c>
      <x:c r="B42" s="75" t="n">
        <x:v>17.072</x:v>
      </x:c>
      <x:c r="C42" s="75" t="n">
        <x:v>17.359</x:v>
      </x:c>
      <x:c r="D42" s="76" t="n">
        <x:f>332.272/B42</x:f>
        <x:v>19.462980318650423</x:v>
      </x:c>
      <x:c r="F42" s="81"/>
      <x:c r="G42" s="81"/>
      <x:c r="H42" s="81"/>
      <x:c r="I42" s="81"/>
      <x:c r="J42" s="81"/>
      <x:c r="K42" s="81"/>
      <x:c r="L42" s="81"/>
      <x:c r="M42" s="81"/>
      <x:c r="N42" s="81"/>
    </x:row>
  </x:sheetData>
  <x:mergeCells>
    <x:mergeCell ref="A1:N1"/>
    <x:mergeCell ref="A2:N2"/>
    <x:mergeCell ref="A21:G21"/>
    <x:mergeCell ref="D22:G22"/>
    <x:mergeCell ref="D23:G23"/>
    <x:mergeCell ref="D24:G24"/>
    <x:mergeCell ref="A27:G27"/>
    <x:mergeCell ref="A36:G36"/>
    <x:mergeCell ref="F28:N32"/>
    <x:mergeCell ref="F37:N42"/>
  </x:mergeCells>
  <x:pageMargins left="0.7" right="0.7" top="0.75" bottom="0.75" header="0.3" footer="0.3"/>
  <x:legacyDrawing xmlns:r="http://schemas.openxmlformats.org/officeDocument/2006/relationships" r:id="Rc182ac59da224b02"/>
</x:worksheet>
</file>

<file path=xl/worksheets/sheet3.xml><?xml version="1.0" encoding="utf-8"?>
<x:worksheet xmlns:x="http://schemas.openxmlformats.org/spreadsheetml/2006/main">
  <x:sheetViews>
    <x:sheetView showGridLines="0" workbookViewId="0"/>
  </x:sheetViews>
  <x:sheetFormatPr defaultRowHeight="15"/>
  <x:cols>
    <x:col min="1" max="1" width="29" hidden="0" customWidth="1"/>
    <x:col min="2" max="2" width="12" hidden="0" customWidth="1"/>
    <x:col min="3" max="3" width="12" hidden="0" customWidth="1"/>
    <x:col min="4" max="4" width="12" hidden="0" customWidth="1"/>
    <x:col min="5" max="5" width="12" hidden="0" customWidth="1"/>
    <x:col min="6" max="6" width="12" hidden="0" customWidth="1"/>
    <x:col min="8" max="8" width="29" hidden="0" customWidth="1"/>
    <x:col min="9" max="9" width="12" hidden="0" customWidth="1"/>
    <x:col min="10" max="10" width="12" hidden="0" customWidth="1"/>
    <x:col min="11" max="11" width="12" hidden="0" customWidth="1"/>
    <x:col min="12" max="12" width="12" hidden="0" customWidth="1"/>
    <x:col min="13" max="13" width="12" hidden="0" customWidth="1"/>
    <x:col min="15" max="15" width="29" hidden="0" customWidth="1"/>
    <x:col min="16" max="16" width="12" hidden="0" customWidth="1"/>
    <x:col min="17" max="17" width="12" hidden="0" customWidth="1"/>
    <x:col min="18" max="18" width="12" hidden="0" customWidth="1"/>
    <x:col min="19" max="19" width="12" hidden="0" customWidth="1"/>
    <x:col min="20" max="20" width="12" hidden="0" customWidth="1"/>
    <x:col min="7" max="7" width="3" hidden="0" customWidth="1"/>
    <x:col min="14" max="14" width="3" hidden="0" customWidth="1"/>
  </x:cols>
  <x:sheetData>
    <x:row r="1" ht="30" customHeight="1">
      <x:c r="A1" s="3" t="str">
        <x:v>核心假设：悲观 / 基准 / 乐观</x:v>
      </x:c>
      <x:c r="B1" s="3"/>
      <x:c r="C1" s="3"/>
      <x:c r="D1" s="3"/>
      <x:c r="E1" s="3"/>
      <x:c r="F1" s="3"/>
      <x:c r="G1" s="3"/>
      <x:c r="H1" s="3"/>
      <x:c r="I1" s="3"/>
      <x:c r="J1" s="3"/>
      <x:c r="K1" s="3"/>
      <x:c r="L1" s="3"/>
      <x:c r="M1" s="3"/>
      <x:c r="N1" s="3"/>
      <x:c r="O1" s="3"/>
      <x:c r="P1" s="3"/>
      <x:c r="Q1" s="3"/>
      <x:c r="R1" s="3"/>
      <x:c r="S1" s="3"/>
      <x:c r="T1" s="3"/>
    </x:row>
    <x:row r="2" ht="28" customHeight="1">
      <x:c r="A2" s="7" t="str">
        <x:v>从当前网页数据模块动态载入；蓝字为可编辑输入。2026H1分部毛利率作为新锚点，设备与耗材毛利率按30%；所得税率2026E按19%、2027E起按20%。</x:v>
      </x:c>
      <x:c r="B2" s="7"/>
      <x:c r="C2" s="7"/>
      <x:c r="D2" s="7"/>
      <x:c r="E2" s="7"/>
      <x:c r="F2" s="7"/>
      <x:c r="G2" s="7"/>
      <x:c r="H2" s="7"/>
      <x:c r="I2" s="7"/>
      <x:c r="J2" s="7"/>
      <x:c r="K2" s="7"/>
      <x:c r="L2" s="7"/>
      <x:c r="M2" s="7"/>
      <x:c r="N2" s="7"/>
      <x:c r="O2" s="7"/>
      <x:c r="P2" s="7"/>
      <x:c r="Q2" s="7"/>
      <x:c r="R2" s="7"/>
      <x:c r="S2" s="7"/>
      <x:c r="T2" s="7"/>
    </x:row>
    <x:row r="4">
      <x:c r="A4" s="84" t="str">
        <x:v>悲观情景</x:v>
      </x:c>
      <x:c r="B4" s="84"/>
      <x:c r="C4" s="84"/>
      <x:c r="D4" s="84"/>
      <x:c r="E4" s="84"/>
      <x:c r="F4" s="84"/>
      <x:c r="H4" s="92" t="str">
        <x:v>基准情景</x:v>
      </x:c>
      <x:c r="I4" s="92"/>
      <x:c r="J4" s="92"/>
      <x:c r="K4" s="92"/>
      <x:c r="L4" s="92"/>
      <x:c r="M4" s="92"/>
      <x:c r="O4" s="95" t="str">
        <x:v>乐观情景</x:v>
      </x:c>
      <x:c r="P4" s="95"/>
      <x:c r="Q4" s="95"/>
      <x:c r="R4" s="95"/>
      <x:c r="S4" s="95"/>
      <x:c r="T4" s="95"/>
    </x:row>
    <x:row r="5">
      <x:c r="A5" s="88" t="str">
        <x:v>假设</x:v>
      </x:c>
      <x:c r="B5" s="88" t="n">
        <x:v>2026</x:v>
      </x:c>
      <x:c r="C5" s="88" t="n">
        <x:v>2027</x:v>
      </x:c>
      <x:c r="D5" s="88" t="n">
        <x:v>2028</x:v>
      </x:c>
      <x:c r="E5" s="88" t="n">
        <x:v>2029</x:v>
      </x:c>
      <x:c r="F5" s="88" t="n">
        <x:v>2030</x:v>
      </x:c>
      <x:c r="H5" s="88" t="str">
        <x:v>假设</x:v>
      </x:c>
      <x:c r="I5" s="88" t="n">
        <x:v>2026</x:v>
      </x:c>
      <x:c r="J5" s="88" t="n">
        <x:v>2027</x:v>
      </x:c>
      <x:c r="K5" s="88" t="n">
        <x:v>2028</x:v>
      </x:c>
      <x:c r="L5" s="88" t="n">
        <x:v>2029</x:v>
      </x:c>
      <x:c r="M5" s="88" t="n">
        <x:v>2030</x:v>
      </x:c>
      <x:c r="O5" s="88" t="str">
        <x:v>假设</x:v>
      </x:c>
      <x:c r="P5" s="88" t="n">
        <x:v>2026</x:v>
      </x:c>
      <x:c r="Q5" s="88" t="n">
        <x:v>2027</x:v>
      </x:c>
      <x:c r="R5" s="88" t="n">
        <x:v>2028</x:v>
      </x:c>
      <x:c r="S5" s="88" t="n">
        <x:v>2029</x:v>
      </x:c>
      <x:c r="T5" s="88" t="n">
        <x:v>2030</x:v>
      </x:c>
    </x:row>
    <x:row r="6">
      <x:c r="A6" s="32" t="str">
        <x:v>可覆盖终端池（百万部）</x:v>
      </x:c>
      <x:c r="B6" s="89" t="n">
        <x:v>220</x:v>
      </x:c>
      <x:c r="C6" s="89" t="n">
        <x:v>230</x:v>
      </x:c>
      <x:c r="D6" s="89" t="n">
        <x:v>250</x:v>
      </x:c>
      <x:c r="E6" s="89" t="n">
        <x:v>275</x:v>
      </x:c>
      <x:c r="F6" s="89" t="n">
        <x:v>300</x:v>
      </x:c>
      <x:c r="H6" s="32" t="str">
        <x:v>可覆盖终端池（百万部）</x:v>
      </x:c>
      <x:c r="I6" s="89" t="n">
        <x:v>228</x:v>
      </x:c>
      <x:c r="J6" s="89" t="n">
        <x:v>240</x:v>
      </x:c>
      <x:c r="K6" s="89" t="n">
        <x:v>270</x:v>
      </x:c>
      <x:c r="L6" s="89" t="n">
        <x:v>300</x:v>
      </x:c>
      <x:c r="M6" s="89" t="n">
        <x:v>330</x:v>
      </x:c>
      <x:c r="O6" s="32" t="str">
        <x:v>可覆盖终端池（百万部）</x:v>
      </x:c>
      <x:c r="P6" s="89" t="n">
        <x:v>235</x:v>
      </x:c>
      <x:c r="Q6" s="89" t="n">
        <x:v>240</x:v>
      </x:c>
      <x:c r="R6" s="89" t="n">
        <x:v>270</x:v>
      </x:c>
      <x:c r="S6" s="89" t="n">
        <x:v>310</x:v>
      </x:c>
      <x:c r="T6" s="89" t="n">
        <x:v>350</x:v>
      </x:c>
    </x:row>
    <x:row r="7">
      <x:c r="A7" s="32" t="str">
        <x:v>新工艺采用率</x:v>
      </x:c>
      <x:c r="B7" s="55" t="n">
        <x:v>0.04</x:v>
      </x:c>
      <x:c r="C7" s="55" t="n">
        <x:v>0.22</x:v>
      </x:c>
      <x:c r="D7" s="55" t="n">
        <x:v>0.27</x:v>
      </x:c>
      <x:c r="E7" s="55" t="n">
        <x:v>0.3</x:v>
      </x:c>
      <x:c r="F7" s="55" t="n">
        <x:v>0.32</x:v>
      </x:c>
      <x:c r="H7" s="32" t="str">
        <x:v>新工艺采用率</x:v>
      </x:c>
      <x:c r="I7" s="55" t="n">
        <x:v>0.05</x:v>
      </x:c>
      <x:c r="J7" s="55" t="n">
        <x:v>0.25</x:v>
      </x:c>
      <x:c r="K7" s="55" t="n">
        <x:v>0.32</x:v>
      </x:c>
      <x:c r="L7" s="55" t="n">
        <x:v>0.38</x:v>
      </x:c>
      <x:c r="M7" s="55" t="n">
        <x:v>0.43</x:v>
      </x:c>
      <x:c r="O7" s="32" t="str">
        <x:v>新工艺采用率</x:v>
      </x:c>
      <x:c r="P7" s="55" t="n">
        <x:v>0.12</x:v>
      </x:c>
      <x:c r="Q7" s="55" t="n">
        <x:v>0.3</x:v>
      </x:c>
      <x:c r="R7" s="55" t="n">
        <x:v>0.38</x:v>
      </x:c>
      <x:c r="S7" s="55" t="n">
        <x:v>0.45</x:v>
      </x:c>
      <x:c r="T7" s="55" t="n">
        <x:v>0.52</x:v>
      </x:c>
    </x:row>
    <x:row r="8">
      <x:c r="A8" s="32" t="str">
        <x:v>前端片数放大系数</x:v>
      </x:c>
      <x:c r="B8" s="90" t="n">
        <x:v>1.35</x:v>
      </x:c>
      <x:c r="C8" s="90" t="n">
        <x:v>1.35</x:v>
      </x:c>
      <x:c r="D8" s="90" t="n">
        <x:v>1.35</x:v>
      </x:c>
      <x:c r="E8" s="90" t="n">
        <x:v>1.32</x:v>
      </x:c>
      <x:c r="F8" s="90" t="n">
        <x:v>1.3</x:v>
      </x:c>
      <x:c r="H8" s="32" t="str">
        <x:v>前端片数放大系数</x:v>
      </x:c>
      <x:c r="I8" s="90" t="n">
        <x:v>1.45</x:v>
      </x:c>
      <x:c r="J8" s="90" t="n">
        <x:v>1.4</x:v>
      </x:c>
      <x:c r="K8" s="90" t="n">
        <x:v>1.4</x:v>
      </x:c>
      <x:c r="L8" s="90" t="n">
        <x:v>1.35</x:v>
      </x:c>
      <x:c r="M8" s="90" t="n">
        <x:v>1.3</x:v>
      </x:c>
      <x:c r="O8" s="32" t="str">
        <x:v>前端片数放大系数</x:v>
      </x:c>
      <x:c r="P8" s="90" t="n">
        <x:v>1.55</x:v>
      </x:c>
      <x:c r="Q8" s="90" t="n">
        <x:v>1.5</x:v>
      </x:c>
      <x:c r="R8" s="90" t="n">
        <x:v>1.45</x:v>
      </x:c>
      <x:c r="S8" s="90" t="n">
        <x:v>1.4</x:v>
      </x:c>
      <x:c r="T8" s="90" t="n">
        <x:v>1.35</x:v>
      </x:c>
    </x:row>
    <x:row r="9">
      <x:c r="A9" s="32" t="str">
        <x:v>岱勒加工份额</x:v>
      </x:c>
      <x:c r="B9" s="55" t="n">
        <x:v>0.75</x:v>
      </x:c>
      <x:c r="C9" s="55" t="n">
        <x:v>0.73</x:v>
      </x:c>
      <x:c r="D9" s="55" t="n">
        <x:v>0.72</x:v>
      </x:c>
      <x:c r="E9" s="55" t="n">
        <x:v>0.72</x:v>
      </x:c>
      <x:c r="F9" s="55" t="n">
        <x:v>0.72</x:v>
      </x:c>
      <x:c r="H9" s="32" t="str">
        <x:v>岱勒加工份额</x:v>
      </x:c>
      <x:c r="I9" s="55" t="n">
        <x:v>0.85</x:v>
      </x:c>
      <x:c r="J9" s="55" t="n">
        <x:v>0.78</x:v>
      </x:c>
      <x:c r="K9" s="55" t="n">
        <x:v>0.78</x:v>
      </x:c>
      <x:c r="L9" s="55" t="n">
        <x:v>0.75</x:v>
      </x:c>
      <x:c r="M9" s="55" t="n">
        <x:v>0.72</x:v>
      </x:c>
      <x:c r="O9" s="32" t="str">
        <x:v>岱勒加工份额</x:v>
      </x:c>
      <x:c r="P9" s="55" t="n">
        <x:v>0.95</x:v>
      </x:c>
      <x:c r="Q9" s="55" t="n">
        <x:v>0.9</x:v>
      </x:c>
      <x:c r="R9" s="55" t="n">
        <x:v>0.85</x:v>
      </x:c>
      <x:c r="S9" s="55" t="n">
        <x:v>0.8</x:v>
      </x:c>
      <x:c r="T9" s="55" t="n">
        <x:v>0.75</x:v>
      </x:c>
    </x:row>
    <x:row r="10">
      <x:c r="A10" s="32" t="str">
        <x:v>单片加工费（元）</x:v>
      </x:c>
      <x:c r="B10" s="75" t="n">
        <x:v>6</x:v>
      </x:c>
      <x:c r="C10" s="75" t="n">
        <x:v>9</x:v>
      </x:c>
      <x:c r="D10" s="75" t="n">
        <x:v>9.2</x:v>
      </x:c>
      <x:c r="E10" s="75" t="n">
        <x:v>9.6</x:v>
      </x:c>
      <x:c r="F10" s="75" t="n">
        <x:v>9.5</x:v>
      </x:c>
      <x:c r="H10" s="32" t="str">
        <x:v>单片加工费（元）</x:v>
      </x:c>
      <x:c r="I10" s="75" t="n">
        <x:v>7</x:v>
      </x:c>
      <x:c r="J10" s="75" t="n">
        <x:v>10</x:v>
      </x:c>
      <x:c r="K10" s="75" t="n">
        <x:v>10.5</x:v>
      </x:c>
      <x:c r="L10" s="75" t="n">
        <x:v>11</x:v>
      </x:c>
      <x:c r="M10" s="75" t="n">
        <x:v>11.5</x:v>
      </x:c>
      <x:c r="O10" s="32" t="str">
        <x:v>单片加工费（元）</x:v>
      </x:c>
      <x:c r="P10" s="75" t="n">
        <x:v>10</x:v>
      </x:c>
      <x:c r="Q10" s="75" t="n">
        <x:v>10.5</x:v>
      </x:c>
      <x:c r="R10" s="75" t="n">
        <x:v>11</x:v>
      </x:c>
      <x:c r="S10" s="75" t="n">
        <x:v>11.5</x:v>
      </x:c>
      <x:c r="T10" s="75" t="n">
        <x:v>12</x:v>
      </x:c>
    </x:row>
    <x:row r="11">
      <x:c r="A11" s="32" t="str">
        <x:v>外部产线占比（仅外售线）</x:v>
      </x:c>
      <x:c r="B11" s="55" t="n">
        <x:v>0.65</x:v>
      </x:c>
      <x:c r="C11" s="55" t="n">
        <x:v>0.7</x:v>
      </x:c>
      <x:c r="D11" s="55" t="n">
        <x:v>0.7</x:v>
      </x:c>
      <x:c r="E11" s="55" t="n">
        <x:v>0.72</x:v>
      </x:c>
      <x:c r="F11" s="55" t="n">
        <x:v>0.74</x:v>
      </x:c>
      <x:c r="H11" s="32" t="str">
        <x:v>外部产线占比（仅外售线）</x:v>
      </x:c>
      <x:c r="I11" s="55" t="n">
        <x:v>0.6</x:v>
      </x:c>
      <x:c r="J11" s="55" t="n">
        <x:v>0.75</x:v>
      </x:c>
      <x:c r="K11" s="55" t="n">
        <x:v>0.72</x:v>
      </x:c>
      <x:c r="L11" s="55" t="n">
        <x:v>0.75</x:v>
      </x:c>
      <x:c r="M11" s="55" t="n">
        <x:v>0.78</x:v>
      </x:c>
      <x:c r="O11" s="32" t="str">
        <x:v>外部产线占比（仅外售线）</x:v>
      </x:c>
      <x:c r="P11" s="55" t="n">
        <x:v>0.65</x:v>
      </x:c>
      <x:c r="Q11" s="55" t="n">
        <x:v>0.8</x:v>
      </x:c>
      <x:c r="R11" s="55" t="n">
        <x:v>0.82</x:v>
      </x:c>
      <x:c r="S11" s="55" t="n">
        <x:v>0.84</x:v>
      </x:c>
      <x:c r="T11" s="55" t="n">
        <x:v>0.86</x:v>
      </x:c>
    </x:row>
    <x:row r="12">
      <x:c r="A12" s="32" t="str">
        <x:v>单片外售金刚线价值（元）</x:v>
      </x:c>
      <x:c r="B12" s="75" t="n">
        <x:v>0.1</x:v>
      </x:c>
      <x:c r="C12" s="75" t="n">
        <x:v>0.5</x:v>
      </x:c>
      <x:c r="D12" s="75" t="n">
        <x:v>0.45</x:v>
      </x:c>
      <x:c r="E12" s="75" t="n">
        <x:v>0.4</x:v>
      </x:c>
      <x:c r="F12" s="75" t="n">
        <x:v>0.4</x:v>
      </x:c>
      <x:c r="H12" s="32" t="str">
        <x:v>单片外售金刚线价值（元）</x:v>
      </x:c>
      <x:c r="I12" s="75" t="n">
        <x:v>0.25</x:v>
      </x:c>
      <x:c r="J12" s="75" t="n">
        <x:v>1</x:v>
      </x:c>
      <x:c r="K12" s="75" t="n">
        <x:v>0.65</x:v>
      </x:c>
      <x:c r="L12" s="75" t="n">
        <x:v>0.5</x:v>
      </x:c>
      <x:c r="M12" s="75" t="n">
        <x:v>0.55</x:v>
      </x:c>
      <x:c r="O12" s="32" t="str">
        <x:v>单片外售金刚线价值（元）</x:v>
      </x:c>
      <x:c r="P12" s="75" t="n">
        <x:v>0.4</x:v>
      </x:c>
      <x:c r="Q12" s="75" t="n">
        <x:v>1.1</x:v>
      </x:c>
      <x:c r="R12" s="75" t="n">
        <x:v>0.75</x:v>
      </x:c>
      <x:c r="S12" s="75" t="n">
        <x:v>0.65</x:v>
      </x:c>
      <x:c r="T12" s="75" t="n">
        <x:v>0.7</x:v>
      </x:c>
    </x:row>
    <x:row r="13">
      <x:c r="A13" s="32" t="str">
        <x:v>加工毛利率</x:v>
      </x:c>
      <x:c r="B13" s="55" t="n">
        <x:v>0.3</x:v>
      </x:c>
      <x:c r="C13" s="55" t="n">
        <x:v>0.31</x:v>
      </x:c>
      <x:c r="D13" s="55" t="n">
        <x:v>0.32</x:v>
      </x:c>
      <x:c r="E13" s="55" t="n">
        <x:v>0.33</x:v>
      </x:c>
      <x:c r="F13" s="55" t="n">
        <x:v>0.34</x:v>
      </x:c>
      <x:c r="H13" s="32" t="str">
        <x:v>加工毛利率</x:v>
      </x:c>
      <x:c r="I13" s="55" t="n">
        <x:v>0.3585</x:v>
      </x:c>
      <x:c r="J13" s="55" t="n">
        <x:v>0.36</x:v>
      </x:c>
      <x:c r="K13" s="55" t="n">
        <x:v>0.37</x:v>
      </x:c>
      <x:c r="L13" s="55" t="n">
        <x:v>0.38</x:v>
      </x:c>
      <x:c r="M13" s="55" t="n">
        <x:v>0.39</x:v>
      </x:c>
      <x:c r="O13" s="32" t="str">
        <x:v>加工毛利率</x:v>
      </x:c>
      <x:c r="P13" s="55" t="n">
        <x:v>0.4</x:v>
      </x:c>
      <x:c r="Q13" s="55" t="n">
        <x:v>0.41</x:v>
      </x:c>
      <x:c r="R13" s="55" t="n">
        <x:v>0.42</x:v>
      </x:c>
      <x:c r="S13" s="55" t="n">
        <x:v>0.43</x:v>
      </x:c>
      <x:c r="T13" s="55" t="n">
        <x:v>0.44</x:v>
      </x:c>
    </x:row>
    <x:row r="14">
      <x:c r="A14" s="32" t="str">
        <x:v>外售切割线毛利率</x:v>
      </x:c>
      <x:c r="B14" s="55" t="n">
        <x:v>0.1651</x:v>
      </x:c>
      <x:c r="C14" s="55" t="n">
        <x:v>0.17</x:v>
      </x:c>
      <x:c r="D14" s="55" t="n">
        <x:v>0.18</x:v>
      </x:c>
      <x:c r="E14" s="55" t="n">
        <x:v>0.19</x:v>
      </x:c>
      <x:c r="F14" s="55" t="n">
        <x:v>0.2</x:v>
      </x:c>
      <x:c r="H14" s="32" t="str">
        <x:v>外售切割线毛利率</x:v>
      </x:c>
      <x:c r="I14" s="55" t="n">
        <x:v>0.2</x:v>
      </x:c>
      <x:c r="J14" s="55" t="n">
        <x:v>0.22</x:v>
      </x:c>
      <x:c r="K14" s="55" t="n">
        <x:v>0.24</x:v>
      </x:c>
      <x:c r="L14" s="55" t="n">
        <x:v>0.26</x:v>
      </x:c>
      <x:c r="M14" s="55" t="n">
        <x:v>0.28</x:v>
      </x:c>
      <x:c r="O14" s="32" t="str">
        <x:v>外售切割线毛利率</x:v>
      </x:c>
      <x:c r="P14" s="55" t="n">
        <x:v>0.24</x:v>
      </x:c>
      <x:c r="Q14" s="55" t="n">
        <x:v>0.26</x:v>
      </x:c>
      <x:c r="R14" s="55" t="n">
        <x:v>0.28</x:v>
      </x:c>
      <x:c r="S14" s="55" t="n">
        <x:v>0.3</x:v>
      </x:c>
      <x:c r="T14" s="55" t="n">
        <x:v>0.32</x:v>
      </x:c>
    </x:row>
    <x:row r="16" ht="22" customHeight="1">
      <x:c r="A16" s="10" t="str">
        <x:v>设备</x:v>
      </x:c>
      <x:c r="B16" s="10"/>
      <x:c r="C16" s="10"/>
      <x:c r="D16" s="10"/>
      <x:c r="E16" s="10"/>
      <x:c r="F16" s="10"/>
      <x:c r="H16" s="9" t="str">
        <x:v>设备</x:v>
      </x:c>
      <x:c r="I16" s="9"/>
      <x:c r="J16" s="9"/>
      <x:c r="K16" s="9"/>
      <x:c r="L16" s="9"/>
      <x:c r="M16" s="9"/>
      <x:c r="O16" s="9" t="str">
        <x:v>设备</x:v>
      </x:c>
      <x:c r="P16" s="9"/>
      <x:c r="Q16" s="9"/>
      <x:c r="R16" s="9"/>
      <x:c r="S16" s="9"/>
      <x:c r="T16" s="9"/>
    </x:row>
    <x:row r="17">
      <x:c r="A17" s="32" t="str">
        <x:v>首批设备口径（百万元）</x:v>
      </x:c>
      <x:c r="B17" s="53" t="n">
        <x:v>1000</x:v>
      </x:c>
      <x:c r="C17" s="53" t="n">
        <x:v>1000</x:v>
      </x:c>
      <x:c r="D17" s="53" t="n">
        <x:v>1200</x:v>
      </x:c>
      <x:c r="E17" s="53" t="n">
        <x:v>1200</x:v>
      </x:c>
      <x:c r="F17" s="53" t="n">
        <x:v>1200</x:v>
      </x:c>
      <x:c r="H17" s="32" t="str">
        <x:v>首批设备口径（百万元）</x:v>
      </x:c>
      <x:c r="I17" s="53" t="n">
        <x:v>1500</x:v>
      </x:c>
      <x:c r="J17" s="53" t="n">
        <x:v>2500</x:v>
      </x:c>
      <x:c r="K17" s="53" t="n">
        <x:v>2500</x:v>
      </x:c>
      <x:c r="L17" s="53" t="n">
        <x:v>1500</x:v>
      </x:c>
      <x:c r="M17" s="53" t="n">
        <x:v>1500</x:v>
      </x:c>
      <x:c r="O17" s="32" t="str">
        <x:v>首批设备口径（百万元）</x:v>
      </x:c>
      <x:c r="P17" s="53" t="n">
        <x:v>2500</x:v>
      </x:c>
      <x:c r="Q17" s="53" t="n">
        <x:v>2500</x:v>
      </x:c>
      <x:c r="R17" s="53" t="n">
        <x:v>3000</x:v>
      </x:c>
      <x:c r="S17" s="53" t="n">
        <x:v>2500</x:v>
      </x:c>
      <x:c r="T17" s="53" t="n">
        <x:v>2500</x:v>
      </x:c>
    </x:row>
    <x:row r="18">
      <x:c r="A18" s="32" t="str">
        <x:v>首批设备兑现比例</x:v>
      </x:c>
      <x:c r="B18" s="55" t="n">
        <x:v>0</x:v>
      </x:c>
      <x:c r="C18" s="55" t="n">
        <x:v>0.6</x:v>
      </x:c>
      <x:c r="D18" s="55" t="n">
        <x:v>0.6</x:v>
      </x:c>
      <x:c r="E18" s="55" t="n">
        <x:v>0.2</x:v>
      </x:c>
      <x:c r="F18" s="55" t="n">
        <x:v>0.2</x:v>
      </x:c>
      <x:c r="H18" s="32" t="str">
        <x:v>首批设备兑现比例</x:v>
      </x:c>
      <x:c r="I18" s="55" t="n">
        <x:v>0.1</x:v>
      </x:c>
      <x:c r="J18" s="55" t="n">
        <x:v>0.5</x:v>
      </x:c>
      <x:c r="K18" s="55" t="n">
        <x:v>0.5</x:v>
      </x:c>
      <x:c r="L18" s="55" t="n">
        <x:v>0.25</x:v>
      </x:c>
      <x:c r="M18" s="55" t="n">
        <x:v>0.25</x:v>
      </x:c>
      <x:c r="O18" s="32" t="str">
        <x:v>首批设备兑现比例</x:v>
      </x:c>
      <x:c r="P18" s="55" t="n">
        <x:v>0.5</x:v>
      </x:c>
      <x:c r="Q18" s="55" t="n">
        <x:v>0.6</x:v>
      </x:c>
      <x:c r="R18" s="55" t="n">
        <x:v>0.6</x:v>
      </x:c>
      <x:c r="S18" s="55" t="n">
        <x:v>0.5</x:v>
      </x:c>
      <x:c r="T18" s="55" t="n">
        <x:v>0.5</x:v>
      </x:c>
    </x:row>
    <x:row r="19">
      <x:c r="A19" s="32" t="str">
        <x:v>首批设备交付节奏</x:v>
      </x:c>
      <x:c r="B19" s="55" t="n">
        <x:v>0</x:v>
      </x:c>
      <x:c r="C19" s="55" t="n">
        <x:v>0.7</x:v>
      </x:c>
      <x:c r="D19" s="55" t="n">
        <x:v>0.7</x:v>
      </x:c>
      <x:c r="E19" s="55" t="n">
        <x:v>0</x:v>
      </x:c>
      <x:c r="F19" s="55" t="n">
        <x:v>0</x:v>
      </x:c>
      <x:c r="H19" s="32" t="str">
        <x:v>首批设备交付节奏</x:v>
      </x:c>
      <x:c r="I19" s="55" t="n">
        <x:v>0</x:v>
      </x:c>
      <x:c r="J19" s="55" t="n">
        <x:v>0.6</x:v>
      </x:c>
      <x:c r="K19" s="55" t="n">
        <x:v>0.72</x:v>
      </x:c>
      <x:c r="L19" s="55" t="n">
        <x:v>0</x:v>
      </x:c>
      <x:c r="M19" s="55" t="n">
        <x:v>0</x:v>
      </x:c>
      <x:c r="O19" s="32" t="str">
        <x:v>首批设备交付节奏</x:v>
      </x:c>
      <x:c r="P19" s="55" t="n">
        <x:v>0.15</x:v>
      </x:c>
      <x:c r="Q19" s="55" t="n">
        <x:v>0.65</x:v>
      </x:c>
      <x:c r="R19" s="55" t="n">
        <x:v>0.8</x:v>
      </x:c>
      <x:c r="S19" s="55" t="n">
        <x:v>0</x:v>
      </x:c>
      <x:c r="T19" s="55" t="n">
        <x:v>0</x:v>
      </x:c>
    </x:row>
    <x:row r="20">
      <x:c r="A20" s="32" t="str">
        <x:v>维护/海外/后续设备收入（百万元）</x:v>
      </x:c>
      <x:c r="B20" s="53" t="n">
        <x:v>0</x:v>
      </x:c>
      <x:c r="C20" s="53" t="n">
        <x:v>180</x:v>
      </x:c>
      <x:c r="D20" s="53" t="n">
        <x:v>0</x:v>
      </x:c>
      <x:c r="E20" s="53" t="n">
        <x:v>600</x:v>
      </x:c>
      <x:c r="F20" s="53" t="n">
        <x:v>550</x:v>
      </x:c>
      <x:c r="H20" s="32" t="str">
        <x:v>维护/海外/后续设备收入（百万元）</x:v>
      </x:c>
      <x:c r="I20" s="53" t="n">
        <x:v>100</x:v>
      </x:c>
      <x:c r="J20" s="53" t="n">
        <x:v>450</x:v>
      </x:c>
      <x:c r="K20" s="53" t="n">
        <x:v>450</x:v>
      </x:c>
      <x:c r="L20" s="53" t="n">
        <x:v>1560</x:v>
      </x:c>
      <x:c r="M20" s="53" t="n">
        <x:v>1600</x:v>
      </x:c>
      <x:c r="O20" s="32" t="str">
        <x:v>维护/海外/后续设备收入（百万元）</x:v>
      </x:c>
      <x:c r="P20" s="53" t="n">
        <x:v>150</x:v>
      </x:c>
      <x:c r="Q20" s="53" t="n">
        <x:v>500</x:v>
      </x:c>
      <x:c r="R20" s="53" t="n">
        <x:v>500</x:v>
      </x:c>
      <x:c r="S20" s="53" t="n">
        <x:v>1900</x:v>
      </x:c>
      <x:c r="T20" s="53" t="n">
        <x:v>2200</x:v>
      </x:c>
    </x:row>
    <x:row r="21">
      <x:c r="A21" s="32" t="str">
        <x:v>设备毛利率</x:v>
      </x:c>
      <x:c r="B21" s="55" t="n">
        <x:v>0.3</x:v>
      </x:c>
      <x:c r="C21" s="55" t="n">
        <x:v>0.3</x:v>
      </x:c>
      <x:c r="D21" s="55" t="n">
        <x:v>0.3</x:v>
      </x:c>
      <x:c r="E21" s="55" t="n">
        <x:v>0.3</x:v>
      </x:c>
      <x:c r="F21" s="55" t="n">
        <x:v>0.3</x:v>
      </x:c>
      <x:c r="H21" s="32" t="str">
        <x:v>设备毛利率</x:v>
      </x:c>
      <x:c r="I21" s="55" t="n">
        <x:v>0.3</x:v>
      </x:c>
      <x:c r="J21" s="55" t="n">
        <x:v>0.3</x:v>
      </x:c>
      <x:c r="K21" s="55" t="n">
        <x:v>0.3</x:v>
      </x:c>
      <x:c r="L21" s="55" t="n">
        <x:v>0.3</x:v>
      </x:c>
      <x:c r="M21" s="55" t="n">
        <x:v>0.3</x:v>
      </x:c>
      <x:c r="O21" s="32" t="str">
        <x:v>设备毛利率</x:v>
      </x:c>
      <x:c r="P21" s="55" t="n">
        <x:v>0.3</x:v>
      </x:c>
      <x:c r="Q21" s="55" t="n">
        <x:v>0.3</x:v>
      </x:c>
      <x:c r="R21" s="55" t="n">
        <x:v>0.3</x:v>
      </x:c>
      <x:c r="S21" s="55" t="n">
        <x:v>0.3</x:v>
      </x:c>
      <x:c r="T21" s="55" t="n">
        <x:v>0.3</x:v>
      </x:c>
    </x:row>
    <x:row r="22">
      <x:c r="A22" s="32" t="str">
        <x:v>设备内部销售占比</x:v>
      </x:c>
      <x:c r="B22" s="55" t="n">
        <x:v>0</x:v>
      </x:c>
      <x:c r="C22" s="55" t="n">
        <x:v>0</x:v>
      </x:c>
      <x:c r="D22" s="55" t="n">
        <x:v>0</x:v>
      </x:c>
      <x:c r="E22" s="55" t="n">
        <x:v>0</x:v>
      </x:c>
      <x:c r="F22" s="55" t="n">
        <x:v>0</x:v>
      </x:c>
      <x:c r="H22" s="32" t="str">
        <x:v>设备内部销售占比</x:v>
      </x:c>
      <x:c r="I22" s="55" t="n">
        <x:v>0</x:v>
      </x:c>
      <x:c r="J22" s="55" t="n">
        <x:v>0</x:v>
      </x:c>
      <x:c r="K22" s="55" t="n">
        <x:v>0</x:v>
      </x:c>
      <x:c r="L22" s="55" t="n">
        <x:v>0</x:v>
      </x:c>
      <x:c r="M22" s="55" t="n">
        <x:v>0</x:v>
      </x:c>
      <x:c r="O22" s="32" t="str">
        <x:v>设备内部销售占比</x:v>
      </x:c>
      <x:c r="P22" s="55" t="n">
        <x:v>0</x:v>
      </x:c>
      <x:c r="Q22" s="55" t="n">
        <x:v>0</x:v>
      </x:c>
      <x:c r="R22" s="55" t="n">
        <x:v>0</x:v>
      </x:c>
      <x:c r="S22" s="55" t="n">
        <x:v>0</x:v>
      </x:c>
      <x:c r="T22" s="55" t="n">
        <x:v>0</x:v>
      </x:c>
    </x:row>
    <x:row r="23" ht="22" customHeight="1">
      <x:c r="A23" s="10" t="str">
        <x:v>耗材</x:v>
      </x:c>
      <x:c r="B23" s="10"/>
      <x:c r="C23" s="10"/>
      <x:c r="D23" s="10"/>
      <x:c r="E23" s="10"/>
      <x:c r="F23" s="10"/>
      <x:c r="H23" s="9" t="str">
        <x:v>耗材</x:v>
      </x:c>
      <x:c r="I23" s="9"/>
      <x:c r="J23" s="9"/>
      <x:c r="K23" s="9"/>
      <x:c r="L23" s="9"/>
      <x:c r="M23" s="9"/>
      <x:c r="O23" s="9" t="str">
        <x:v>耗材</x:v>
      </x:c>
      <x:c r="P23" s="9"/>
      <x:c r="Q23" s="9"/>
      <x:c r="R23" s="9"/>
      <x:c r="S23" s="9"/>
      <x:c r="T23" s="9"/>
    </x:row>
    <x:row r="24">
      <x:c r="A24" s="32" t="str">
        <x:v>已验证可争取耗材池（百万元）</x:v>
      </x:c>
      <x:c r="B24" s="53" t="n">
        <x:v>400</x:v>
      </x:c>
      <x:c r="C24" s="53" t="n">
        <x:v>2000</x:v>
      </x:c>
      <x:c r="D24" s="53" t="n">
        <x:v>2250</x:v>
      </x:c>
      <x:c r="E24" s="53" t="n">
        <x:v>2600</x:v>
      </x:c>
      <x:c r="F24" s="53" t="n">
        <x:v>3000</x:v>
      </x:c>
      <x:c r="H24" s="32" t="str">
        <x:v>已验证可争取耗材池（百万元）</x:v>
      </x:c>
      <x:c r="I24" s="53" t="n">
        <x:v>500</x:v>
      </x:c>
      <x:c r="J24" s="53" t="n">
        <x:v>2500</x:v>
      </x:c>
      <x:c r="K24" s="53" t="n">
        <x:v>2750</x:v>
      </x:c>
      <x:c r="L24" s="53" t="n">
        <x:v>3250</x:v>
      </x:c>
      <x:c r="M24" s="53" t="n">
        <x:v>4000</x:v>
      </x:c>
      <x:c r="O24" s="32" t="str">
        <x:v>已验证可争取耗材池（百万元）</x:v>
      </x:c>
      <x:c r="P24" s="53" t="n">
        <x:v>800</x:v>
      </x:c>
      <x:c r="Q24" s="53" t="n">
        <x:v>3000</x:v>
      </x:c>
      <x:c r="R24" s="53" t="n">
        <x:v>3500</x:v>
      </x:c>
      <x:c r="S24" s="53" t="n">
        <x:v>4250</x:v>
      </x:c>
      <x:c r="T24" s="53" t="n">
        <x:v>5200</x:v>
      </x:c>
    </x:row>
    <x:row r="25">
      <x:c r="A25" s="32" t="str">
        <x:v>外售耗材份额</x:v>
      </x:c>
      <x:c r="B25" s="55" t="n">
        <x:v>0.04</x:v>
      </x:c>
      <x:c r="C25" s="55" t="n">
        <x:v>0.2</x:v>
      </x:c>
      <x:c r="D25" s="55" t="n">
        <x:v>0.2</x:v>
      </x:c>
      <x:c r="E25" s="55" t="n">
        <x:v>0.2</x:v>
      </x:c>
      <x:c r="F25" s="55" t="n">
        <x:v>0.17</x:v>
      </x:c>
      <x:c r="H25" s="32" t="str">
        <x:v>外售耗材份额</x:v>
      </x:c>
      <x:c r="I25" s="55" t="n">
        <x:v>0.05</x:v>
      </x:c>
      <x:c r="J25" s="55" t="n">
        <x:v>0.2</x:v>
      </x:c>
      <x:c r="K25" s="55" t="n">
        <x:v>0.2588235294117647</x:v>
      </x:c>
      <x:c r="L25" s="55" t="n">
        <x:v>0.29411764705882354</x:v>
      </x:c>
      <x:c r="M25" s="55" t="n">
        <x:v>0.35294117647058826</x:v>
      </x:c>
      <x:c r="O25" s="32" t="str">
        <x:v>外售耗材份额</x:v>
      </x:c>
      <x:c r="P25" s="55" t="n">
        <x:v>0.08</x:v>
      </x:c>
      <x:c r="Q25" s="55" t="n">
        <x:v>0.25</x:v>
      </x:c>
      <x:c r="R25" s="55" t="n">
        <x:v>0.35</x:v>
      </x:c>
      <x:c r="S25" s="55" t="n">
        <x:v>0.45</x:v>
      </x:c>
      <x:c r="T25" s="55" t="n">
        <x:v>0.55</x:v>
      </x:c>
    </x:row>
    <x:row r="26">
      <x:c r="A26" s="32" t="str">
        <x:v>耗材毛利率</x:v>
      </x:c>
      <x:c r="B26" s="55" t="n">
        <x:v>0.3</x:v>
      </x:c>
      <x:c r="C26" s="55" t="n">
        <x:v>0.3</x:v>
      </x:c>
      <x:c r="D26" s="55" t="n">
        <x:v>0.3</x:v>
      </x:c>
      <x:c r="E26" s="55" t="n">
        <x:v>0.3</x:v>
      </x:c>
      <x:c r="F26" s="55" t="n">
        <x:v>0.3</x:v>
      </x:c>
      <x:c r="H26" s="32" t="str">
        <x:v>耗材毛利率</x:v>
      </x:c>
      <x:c r="I26" s="55" t="n">
        <x:v>0.3</x:v>
      </x:c>
      <x:c r="J26" s="55" t="n">
        <x:v>0.3</x:v>
      </x:c>
      <x:c r="K26" s="55" t="n">
        <x:v>0.3</x:v>
      </x:c>
      <x:c r="L26" s="55" t="n">
        <x:v>0.3</x:v>
      </x:c>
      <x:c r="M26" s="55" t="n">
        <x:v>0.3</x:v>
      </x:c>
      <x:c r="O26" s="32" t="str">
        <x:v>耗材毛利率</x:v>
      </x:c>
      <x:c r="P26" s="55" t="n">
        <x:v>0.3</x:v>
      </x:c>
      <x:c r="Q26" s="55" t="n">
        <x:v>0.3</x:v>
      </x:c>
      <x:c r="R26" s="55" t="n">
        <x:v>0.3</x:v>
      </x:c>
      <x:c r="S26" s="55" t="n">
        <x:v>0.3</x:v>
      </x:c>
      <x:c r="T26" s="55" t="n">
        <x:v>0.3</x:v>
      </x:c>
    </x:row>
    <x:row r="28" ht="22" customHeight="1">
      <x:c r="A28" s="10" t="str">
        <x:v>存量业务、费用、税率与少数股东</x:v>
      </x:c>
      <x:c r="B28" s="10"/>
      <x:c r="C28" s="10"/>
      <x:c r="D28" s="10"/>
      <x:c r="E28" s="10"/>
      <x:c r="F28" s="10"/>
      <x:c r="H28" s="9" t="str">
        <x:v>存量业务、费用、税率与少数股东</x:v>
      </x:c>
      <x:c r="I28" s="9"/>
      <x:c r="J28" s="9"/>
      <x:c r="K28" s="9"/>
      <x:c r="L28" s="9"/>
      <x:c r="M28" s="9"/>
      <x:c r="O28" s="9" t="str">
        <x:v>存量业务、费用、税率与少数股东</x:v>
      </x:c>
      <x:c r="P28" s="9"/>
      <x:c r="Q28" s="9"/>
      <x:c r="R28" s="9"/>
      <x:c r="S28" s="9"/>
      <x:c r="T28" s="9"/>
    </x:row>
    <x:row r="29">
      <x:c r="A29" s="32" t="str">
        <x:v>存量业务收入（百万元）</x:v>
      </x:c>
      <x:c r="B29" s="53" t="n">
        <x:v>420</x:v>
      </x:c>
      <x:c r="C29" s="53" t="n">
        <x:v>400</x:v>
      </x:c>
      <x:c r="D29" s="53" t="n">
        <x:v>420</x:v>
      </x:c>
      <x:c r="E29" s="53" t="n">
        <x:v>440</x:v>
      </x:c>
      <x:c r="F29" s="53" t="n">
        <x:v>460</x:v>
      </x:c>
      <x:c r="H29" s="32" t="str">
        <x:v>存量业务收入（百万元）</x:v>
      </x:c>
      <x:c r="I29" s="53" t="n">
        <x:v>440</x:v>
      </x:c>
      <x:c r="J29" s="53" t="n">
        <x:v>460</x:v>
      </x:c>
      <x:c r="K29" s="53" t="n">
        <x:v>480</x:v>
      </x:c>
      <x:c r="L29" s="53" t="n">
        <x:v>500</x:v>
      </x:c>
      <x:c r="M29" s="53" t="n">
        <x:v>520</x:v>
      </x:c>
      <x:c r="O29" s="32" t="str">
        <x:v>存量业务收入（百万元）</x:v>
      </x:c>
      <x:c r="P29" s="53" t="n">
        <x:v>480</x:v>
      </x:c>
      <x:c r="Q29" s="53" t="n">
        <x:v>520</x:v>
      </x:c>
      <x:c r="R29" s="53" t="n">
        <x:v>560</x:v>
      </x:c>
      <x:c r="S29" s="53" t="n">
        <x:v>600</x:v>
      </x:c>
      <x:c r="T29" s="53" t="n">
        <x:v>640</x:v>
      </x:c>
    </x:row>
    <x:row r="30">
      <x:c r="A30" s="32" t="str">
        <x:v>存量业务毛利率</x:v>
      </x:c>
      <x:c r="B30" s="55" t="n">
        <x:v>0.19</x:v>
      </x:c>
      <x:c r="C30" s="55" t="n">
        <x:v>0.16</x:v>
      </x:c>
      <x:c r="D30" s="55" t="n">
        <x:v>0.17</x:v>
      </x:c>
      <x:c r="E30" s="55" t="n">
        <x:v>0.18</x:v>
      </x:c>
      <x:c r="F30" s="55" t="n">
        <x:v>0.19</x:v>
      </x:c>
      <x:c r="H30" s="32" t="str">
        <x:v>存量业务毛利率</x:v>
      </x:c>
      <x:c r="I30" s="55" t="n">
        <x:v>0.1994</x:v>
      </x:c>
      <x:c r="J30" s="55" t="n">
        <x:v>0.2</x:v>
      </x:c>
      <x:c r="K30" s="55" t="n">
        <x:v>0.21</x:v>
      </x:c>
      <x:c r="L30" s="55" t="n">
        <x:v>0.22</x:v>
      </x:c>
      <x:c r="M30" s="55" t="n">
        <x:v>0.23</x:v>
      </x:c>
      <x:c r="O30" s="32" t="str">
        <x:v>存量业务毛利率</x:v>
      </x:c>
      <x:c r="P30" s="55" t="n">
        <x:v>0.22</x:v>
      </x:c>
      <x:c r="Q30" s="55" t="n">
        <x:v>0.24</x:v>
      </x:c>
      <x:c r="R30" s="55" t="n">
        <x:v>0.27</x:v>
      </x:c>
      <x:c r="S30" s="55" t="n">
        <x:v>0.28</x:v>
      </x:c>
      <x:c r="T30" s="55" t="n">
        <x:v>0.29</x:v>
      </x:c>
    </x:row>
    <x:row r="31">
      <x:c r="A31" s="32" t="str">
        <x:v>销售费用率</x:v>
      </x:c>
      <x:c r="B31" s="55" t="n">
        <x:v>0.035</x:v>
      </x:c>
      <x:c r="C31" s="55" t="n">
        <x:v>0.028</x:v>
      </x:c>
      <x:c r="D31" s="55" t="n">
        <x:v>0.026</x:v>
      </x:c>
      <x:c r="E31" s="55" t="n">
        <x:v>0.024</x:v>
      </x:c>
      <x:c r="F31" s="55" t="n">
        <x:v>0.022</x:v>
      </x:c>
      <x:c r="H31" s="32" t="str">
        <x:v>销售费用率</x:v>
      </x:c>
      <x:c r="I31" s="55" t="n">
        <x:v>0.03</x:v>
      </x:c>
      <x:c r="J31" s="55" t="n">
        <x:v>0.014</x:v>
      </x:c>
      <x:c r="K31" s="55" t="n">
        <x:v>0.012</x:v>
      </x:c>
      <x:c r="L31" s="55" t="n">
        <x:v>0.011</x:v>
      </x:c>
      <x:c r="M31" s="55" t="n">
        <x:v>0.01</x:v>
      </x:c>
      <x:c r="O31" s="32" t="str">
        <x:v>销售费用率</x:v>
      </x:c>
      <x:c r="P31" s="55" t="n">
        <x:v>0.025</x:v>
      </x:c>
      <x:c r="Q31" s="55" t="n">
        <x:v>0.011</x:v>
      </x:c>
      <x:c r="R31" s="55" t="n">
        <x:v>0.009</x:v>
      </x:c>
      <x:c r="S31" s="55" t="n">
        <x:v>0.008</x:v>
      </x:c>
      <x:c r="T31" s="55" t="n">
        <x:v>0.007</x:v>
      </x:c>
    </x:row>
    <x:row r="32">
      <x:c r="A32" s="32" t="str">
        <x:v>管理费用率</x:v>
      </x:c>
      <x:c r="B32" s="55" t="n">
        <x:v>0.07</x:v>
      </x:c>
      <x:c r="C32" s="55" t="n">
        <x:v>0.05</x:v>
      </x:c>
      <x:c r="D32" s="55" t="n">
        <x:v>0.047</x:v>
      </x:c>
      <x:c r="E32" s="55" t="n">
        <x:v>0.043</x:v>
      </x:c>
      <x:c r="F32" s="55" t="n">
        <x:v>0.041</x:v>
      </x:c>
      <x:c r="H32" s="32" t="str">
        <x:v>管理费用率</x:v>
      </x:c>
      <x:c r="I32" s="55" t="n">
        <x:v>0.06</x:v>
      </x:c>
      <x:c r="J32" s="55" t="n">
        <x:v>0.028</x:v>
      </x:c>
      <x:c r="K32" s="55" t="n">
        <x:v>0.025</x:v>
      </x:c>
      <x:c r="L32" s="55" t="n">
        <x:v>0.023</x:v>
      </x:c>
      <x:c r="M32" s="55" t="n">
        <x:v>0.021</x:v>
      </x:c>
      <x:c r="O32" s="32" t="str">
        <x:v>管理费用率</x:v>
      </x:c>
      <x:c r="P32" s="55" t="n">
        <x:v>0.05</x:v>
      </x:c>
      <x:c r="Q32" s="55" t="n">
        <x:v>0.021</x:v>
      </x:c>
      <x:c r="R32" s="55" t="n">
        <x:v>0.019</x:v>
      </x:c>
      <x:c r="S32" s="55" t="n">
        <x:v>0.018</x:v>
      </x:c>
      <x:c r="T32" s="55" t="n">
        <x:v>0.017</x:v>
      </x:c>
    </x:row>
    <x:row r="33">
      <x:c r="A33" s="32" t="str">
        <x:v>研发费用率</x:v>
      </x:c>
      <x:c r="B33" s="55" t="n">
        <x:v>0.055</x:v>
      </x:c>
      <x:c r="C33" s="55" t="n">
        <x:v>0.038</x:v>
      </x:c>
      <x:c r="D33" s="55" t="n">
        <x:v>0.035</x:v>
      </x:c>
      <x:c r="E33" s="55" t="n">
        <x:v>0.032</x:v>
      </x:c>
      <x:c r="F33" s="55" t="n">
        <x:v>0.03</x:v>
      </x:c>
      <x:c r="H33" s="32" t="str">
        <x:v>研发费用率</x:v>
      </x:c>
      <x:c r="I33" s="55" t="n">
        <x:v>0.05</x:v>
      </x:c>
      <x:c r="J33" s="55" t="n">
        <x:v>0.021</x:v>
      </x:c>
      <x:c r="K33" s="55" t="n">
        <x:v>0.019</x:v>
      </x:c>
      <x:c r="L33" s="55" t="n">
        <x:v>0.017</x:v>
      </x:c>
      <x:c r="M33" s="55" t="n">
        <x:v>0.016</x:v>
      </x:c>
      <x:c r="O33" s="32" t="str">
        <x:v>研发费用率</x:v>
      </x:c>
      <x:c r="P33" s="55" t="n">
        <x:v>0.045</x:v>
      </x:c>
      <x:c r="Q33" s="55" t="n">
        <x:v>0.019</x:v>
      </x:c>
      <x:c r="R33" s="55" t="n">
        <x:v>0.017</x:v>
      </x:c>
      <x:c r="S33" s="55" t="n">
        <x:v>0.015</x:v>
      </x:c>
      <x:c r="T33" s="55" t="n">
        <x:v>0.014</x:v>
      </x:c>
    </x:row>
    <x:row r="34">
      <x:c r="A34" s="32" t="str">
        <x:v>财务费用率</x:v>
      </x:c>
      <x:c r="B34" s="55" t="n">
        <x:v>0.02</x:v>
      </x:c>
      <x:c r="C34" s="55" t="n">
        <x:v>0.012</x:v>
      </x:c>
      <x:c r="D34" s="55" t="n">
        <x:v>0.012</x:v>
      </x:c>
      <x:c r="E34" s="55" t="n">
        <x:v>0.011</x:v>
      </x:c>
      <x:c r="F34" s="55" t="n">
        <x:v>0.01</x:v>
      </x:c>
      <x:c r="H34" s="32" t="str">
        <x:v>财务费用率</x:v>
      </x:c>
      <x:c r="I34" s="55" t="n">
        <x:v>0.015</x:v>
      </x:c>
      <x:c r="J34" s="55" t="n">
        <x:v>0.005</x:v>
      </x:c>
      <x:c r="K34" s="55" t="n">
        <x:v>0.005</x:v>
      </x:c>
      <x:c r="L34" s="55" t="n">
        <x:v>0.004</x:v>
      </x:c>
      <x:c r="M34" s="55" t="n">
        <x:v>0.004</x:v>
      </x:c>
      <x:c r="O34" s="32" t="str">
        <x:v>财务费用率</x:v>
      </x:c>
      <x:c r="P34" s="55" t="n">
        <x:v>0.01</x:v>
      </x:c>
      <x:c r="Q34" s="55" t="n">
        <x:v>0.005</x:v>
      </x:c>
      <x:c r="R34" s="55" t="n">
        <x:v>0.004</x:v>
      </x:c>
      <x:c r="S34" s="55" t="n">
        <x:v>0.003</x:v>
      </x:c>
      <x:c r="T34" s="55" t="n">
        <x:v>0.003</x:v>
      </x:c>
    </x:row>
    <x:row r="35">
      <x:c r="A35" s="32" t="str">
        <x:v>减值损失（百万元）</x:v>
      </x:c>
      <x:c r="B35" s="53" t="n">
        <x:v>8</x:v>
      </x:c>
      <x:c r="C35" s="53" t="n">
        <x:v>5</x:v>
      </x:c>
      <x:c r="D35" s="53" t="n">
        <x:v>4</x:v>
      </x:c>
      <x:c r="E35" s="53" t="n">
        <x:v>4</x:v>
      </x:c>
      <x:c r="F35" s="53" t="n">
        <x:v>4</x:v>
      </x:c>
      <x:c r="H35" s="32" t="str">
        <x:v>减值损失（百万元）</x:v>
      </x:c>
      <x:c r="I35" s="53" t="n">
        <x:v>5</x:v>
      </x:c>
      <x:c r="J35" s="53" t="n">
        <x:v>3</x:v>
      </x:c>
      <x:c r="K35" s="53" t="n">
        <x:v>3</x:v>
      </x:c>
      <x:c r="L35" s="53" t="n">
        <x:v>3</x:v>
      </x:c>
      <x:c r="M35" s="53" t="n">
        <x:v>3</x:v>
      </x:c>
      <x:c r="O35" s="32" t="str">
        <x:v>减值损失（百万元）</x:v>
      </x:c>
      <x:c r="P35" s="53" t="n">
        <x:v>2</x:v>
      </x:c>
      <x:c r="Q35" s="53" t="n">
        <x:v>2</x:v>
      </x:c>
      <x:c r="R35" s="53" t="n">
        <x:v>2</x:v>
      </x:c>
      <x:c r="S35" s="53" t="n">
        <x:v>2</x:v>
      </x:c>
      <x:c r="T35" s="53" t="n">
        <x:v>2</x:v>
      </x:c>
    </x:row>
    <x:row r="36">
      <x:c r="A36" s="32" t="str">
        <x:v>其他收益净额（百万元）</x:v>
      </x:c>
      <x:c r="B36" s="53" t="n">
        <x:v>4</x:v>
      </x:c>
      <x:c r="C36" s="53" t="n">
        <x:v>3</x:v>
      </x:c>
      <x:c r="D36" s="53" t="n">
        <x:v>3</x:v>
      </x:c>
      <x:c r="E36" s="53" t="n">
        <x:v>3</x:v>
      </x:c>
      <x:c r="F36" s="53" t="n">
        <x:v>3</x:v>
      </x:c>
      <x:c r="H36" s="32" t="str">
        <x:v>其他收益净额（百万元）</x:v>
      </x:c>
      <x:c r="I36" s="53" t="n">
        <x:v>5</x:v>
      </x:c>
      <x:c r="J36" s="53" t="n">
        <x:v>4</x:v>
      </x:c>
      <x:c r="K36" s="53" t="n">
        <x:v>3</x:v>
      </x:c>
      <x:c r="L36" s="53" t="n">
        <x:v>3</x:v>
      </x:c>
      <x:c r="M36" s="53" t="n">
        <x:v>3</x:v>
      </x:c>
      <x:c r="O36" s="32" t="str">
        <x:v>其他收益净额（百万元）</x:v>
      </x:c>
      <x:c r="P36" s="53" t="n">
        <x:v>5</x:v>
      </x:c>
      <x:c r="Q36" s="53" t="n">
        <x:v>5</x:v>
      </x:c>
      <x:c r="R36" s="53" t="n">
        <x:v>5</x:v>
      </x:c>
      <x:c r="S36" s="53" t="n">
        <x:v>5</x:v>
      </x:c>
      <x:c r="T36" s="53" t="n">
        <x:v>5</x:v>
      </x:c>
    </x:row>
    <x:row r="37">
      <x:c r="A37" s="32" t="str">
        <x:v>所得税率</x:v>
      </x:c>
      <x:c r="B37" s="55" t="n">
        <x:v>0.19</x:v>
      </x:c>
      <x:c r="C37" s="55" t="n">
        <x:v>0.2</x:v>
      </x:c>
      <x:c r="D37" s="55" t="n">
        <x:v>0.2</x:v>
      </x:c>
      <x:c r="E37" s="55" t="n">
        <x:v>0.2</x:v>
      </x:c>
      <x:c r="F37" s="55" t="n">
        <x:v>0.2</x:v>
      </x:c>
      <x:c r="H37" s="32" t="str">
        <x:v>所得税率</x:v>
      </x:c>
      <x:c r="I37" s="55" t="n">
        <x:v>0.19</x:v>
      </x:c>
      <x:c r="J37" s="55" t="n">
        <x:v>0.2</x:v>
      </x:c>
      <x:c r="K37" s="55" t="n">
        <x:v>0.2</x:v>
      </x:c>
      <x:c r="L37" s="55" t="n">
        <x:v>0.2</x:v>
      </x:c>
      <x:c r="M37" s="55" t="n">
        <x:v>0.2</x:v>
      </x:c>
      <x:c r="O37" s="32" t="str">
        <x:v>所得税率</x:v>
      </x:c>
      <x:c r="P37" s="55" t="n">
        <x:v>0.19</x:v>
      </x:c>
      <x:c r="Q37" s="55" t="n">
        <x:v>0.2</x:v>
      </x:c>
      <x:c r="R37" s="55" t="n">
        <x:v>0.2</x:v>
      </x:c>
      <x:c r="S37" s="55" t="n">
        <x:v>0.2</x:v>
      </x:c>
      <x:c r="T37" s="55" t="n">
        <x:v>0.2</x:v>
      </x:c>
    </x:row>
    <x:row r="38">
      <x:c r="A38" s="32" t="str">
        <x:v>总股本（百万股）</x:v>
      </x:c>
      <x:c r="B38" s="91" t="n">
        <x:v>397.028823</x:v>
      </x:c>
      <x:c r="C38" s="91" t="n">
        <x:v>397.028823</x:v>
      </x:c>
      <x:c r="D38" s="91" t="n">
        <x:v>397.028823</x:v>
      </x:c>
      <x:c r="E38" s="91" t="n">
        <x:v>397.028823</x:v>
      </x:c>
      <x:c r="F38" s="91" t="n">
        <x:v>397.028823</x:v>
      </x:c>
      <x:c r="H38" s="32" t="str">
        <x:v>总股本（百万股）</x:v>
      </x:c>
      <x:c r="I38" s="91" t="n">
        <x:v>397.028823</x:v>
      </x:c>
      <x:c r="J38" s="91" t="n">
        <x:v>397.028823</x:v>
      </x:c>
      <x:c r="K38" s="91" t="n">
        <x:v>397.028823</x:v>
      </x:c>
      <x:c r="L38" s="91" t="n">
        <x:v>397.028823</x:v>
      </x:c>
      <x:c r="M38" s="91" t="n">
        <x:v>397.028823</x:v>
      </x:c>
      <x:c r="O38" s="32" t="str">
        <x:v>总股本（百万股）</x:v>
      </x:c>
      <x:c r="P38" s="91" t="n">
        <x:v>397.028823</x:v>
      </x:c>
      <x:c r="Q38" s="91" t="n">
        <x:v>397.028823</x:v>
      </x:c>
      <x:c r="R38" s="91" t="n">
        <x:v>397.028823</x:v>
      </x:c>
      <x:c r="S38" s="91" t="n">
        <x:v>397.028823</x:v>
      </x:c>
      <x:c r="T38" s="91" t="n">
        <x:v>397.028823</x:v>
      </x:c>
    </x:row>
    <x:row r="39">
      <x:c r="A39" s="32" t="str">
        <x:v>加工少数股东比例</x:v>
      </x:c>
      <x:c r="B39" s="55" t="n">
        <x:v>0.1</x:v>
      </x:c>
      <x:c r="C39" s="55" t="n">
        <x:v>0.1</x:v>
      </x:c>
      <x:c r="D39" s="55" t="n">
        <x:v>0.1</x:v>
      </x:c>
      <x:c r="E39" s="55" t="n">
        <x:v>0.1</x:v>
      </x:c>
      <x:c r="F39" s="55" t="n">
        <x:v>0.1</x:v>
      </x:c>
      <x:c r="H39" s="32" t="str">
        <x:v>加工少数股东比例</x:v>
      </x:c>
      <x:c r="I39" s="55" t="n">
        <x:v>0.1</x:v>
      </x:c>
      <x:c r="J39" s="55" t="n">
        <x:v>0.1</x:v>
      </x:c>
      <x:c r="K39" s="55" t="n">
        <x:v>0.1</x:v>
      </x:c>
      <x:c r="L39" s="55" t="n">
        <x:v>0.1</x:v>
      </x:c>
      <x:c r="M39" s="55" t="n">
        <x:v>0.1</x:v>
      </x:c>
      <x:c r="O39" s="32" t="str">
        <x:v>加工少数股东比例</x:v>
      </x:c>
      <x:c r="P39" s="55" t="n">
        <x:v>0.1</x:v>
      </x:c>
      <x:c r="Q39" s="55" t="n">
        <x:v>0.1</x:v>
      </x:c>
      <x:c r="R39" s="55" t="n">
        <x:v>0.1</x:v>
      </x:c>
      <x:c r="S39" s="55" t="n">
        <x:v>0.1</x:v>
      </x:c>
      <x:c r="T39" s="55" t="n">
        <x:v>0.1</x:v>
      </x:c>
    </x:row>
    <x:row r="40">
      <x:c r="A40" s="32" t="str">
        <x:v>设备少数股东比例</x:v>
      </x:c>
      <x:c r="B40" s="55" t="n">
        <x:v>0.49</x:v>
      </x:c>
      <x:c r="C40" s="55" t="n">
        <x:v>0.49</x:v>
      </x:c>
      <x:c r="D40" s="55" t="n">
        <x:v>0.49</x:v>
      </x:c>
      <x:c r="E40" s="55" t="n">
        <x:v>0.49</x:v>
      </x:c>
      <x:c r="F40" s="55" t="n">
        <x:v>0.49</x:v>
      </x:c>
      <x:c r="H40" s="32" t="str">
        <x:v>设备少数股东比例</x:v>
      </x:c>
      <x:c r="I40" s="55" t="n">
        <x:v>0.49</x:v>
      </x:c>
      <x:c r="J40" s="55" t="n">
        <x:v>0.49</x:v>
      </x:c>
      <x:c r="K40" s="55" t="n">
        <x:v>0.49</x:v>
      </x:c>
      <x:c r="L40" s="55" t="n">
        <x:v>0.49</x:v>
      </x:c>
      <x:c r="M40" s="55" t="n">
        <x:v>0.49</x:v>
      </x:c>
      <x:c r="O40" s="32" t="str">
        <x:v>设备少数股东比例</x:v>
      </x:c>
      <x:c r="P40" s="55" t="n">
        <x:v>0.49</x:v>
      </x:c>
      <x:c r="Q40" s="55" t="n">
        <x:v>0.49</x:v>
      </x:c>
      <x:c r="R40" s="55" t="n">
        <x:v>0.49</x:v>
      </x:c>
      <x:c r="S40" s="55" t="n">
        <x:v>0.49</x:v>
      </x:c>
      <x:c r="T40" s="55" t="n">
        <x:v>0.49</x:v>
      </x:c>
    </x:row>
    <x:row r="41">
      <x:c r="A41" s="32" t="str">
        <x:v>耗材少数股东比例</x:v>
      </x:c>
      <x:c r="B41" s="55" t="n">
        <x:v>0.3</x:v>
      </x:c>
      <x:c r="C41" s="55" t="n">
        <x:v>0.3</x:v>
      </x:c>
      <x:c r="D41" s="55" t="n">
        <x:v>0.3</x:v>
      </x:c>
      <x:c r="E41" s="55" t="n">
        <x:v>0.3</x:v>
      </x:c>
      <x:c r="F41" s="55" t="n">
        <x:v>0.3</x:v>
      </x:c>
      <x:c r="H41" s="32" t="str">
        <x:v>耗材少数股东比例</x:v>
      </x:c>
      <x:c r="I41" s="55" t="n">
        <x:v>0.3</x:v>
      </x:c>
      <x:c r="J41" s="55" t="n">
        <x:v>0.3</x:v>
      </x:c>
      <x:c r="K41" s="55" t="n">
        <x:v>0.3</x:v>
      </x:c>
      <x:c r="L41" s="55" t="n">
        <x:v>0.3</x:v>
      </x:c>
      <x:c r="M41" s="55" t="n">
        <x:v>0.3</x:v>
      </x:c>
      <x:c r="O41" s="32" t="str">
        <x:v>耗材少数股东比例</x:v>
      </x:c>
      <x:c r="P41" s="55" t="n">
        <x:v>0.3</x:v>
      </x:c>
      <x:c r="Q41" s="55" t="n">
        <x:v>0.3</x:v>
      </x:c>
      <x:c r="R41" s="55" t="n">
        <x:v>0.3</x:v>
      </x:c>
      <x:c r="S41" s="55" t="n">
        <x:v>0.3</x:v>
      </x:c>
      <x:c r="T41" s="55" t="n">
        <x:v>0.3</x:v>
      </x:c>
    </x:row>
  </x:sheetData>
  <x:mergeCells>
    <x:mergeCell ref="A1:T1"/>
    <x:mergeCell ref="A2:T2"/>
    <x:mergeCell ref="A4:F4"/>
    <x:mergeCell ref="H4:M4"/>
    <x:mergeCell ref="O4:T4"/>
    <x:mergeCell ref="A16:F16"/>
    <x:mergeCell ref="H16:M16"/>
    <x:mergeCell ref="O16:T16"/>
    <x:mergeCell ref="A23:F23"/>
    <x:mergeCell ref="H23:M23"/>
    <x:mergeCell ref="O23:T23"/>
    <x:mergeCell ref="A28:F28"/>
    <x:mergeCell ref="H28:M28"/>
    <x:mergeCell ref="O28:T28"/>
  </x:mergeCells>
  <x:pageMargins left="0.7" right="0.7" top="0.75" bottom="0.75" header="0.3" footer="0.3"/>
  <x:legacyDrawing xmlns:r="http://schemas.openxmlformats.org/officeDocument/2006/relationships" r:id="R9923842cfd344152"/>
</x:worksheet>
</file>

<file path=xl/worksheets/sheet4.xml><?xml version="1.0" encoding="utf-8"?>
<x:worksheet xmlns:x="http://schemas.openxmlformats.org/spreadsheetml/2006/main">
  <x:sheetViews>
    <x:sheetView showGridLines="0" workbookViewId="0"/>
  </x:sheetViews>
  <x:sheetFormatPr defaultRowHeight="15"/>
  <x:cols>
    <x:col min="1" max="1" width="30" hidden="0" customWidth="1"/>
    <x:col min="2" max="2" width="15" hidden="0" customWidth="1"/>
    <x:col min="3" max="3" width="15" hidden="0" customWidth="1"/>
    <x:col min="4" max="4" width="15" hidden="0" customWidth="1"/>
    <x:col min="5" max="5" width="15" hidden="0" customWidth="1"/>
    <x:col min="6" max="6" width="15" hidden="0" customWidth="1"/>
  </x:cols>
  <x:sheetData>
    <x:row r="1" ht="30" customHeight="1">
      <x:c r="A1" s="3" t="str">
        <x:v>分部预测与归母利润桥</x:v>
      </x:c>
      <x:c r="B1" s="3"/>
      <x:c r="C1" s="3"/>
      <x:c r="D1" s="3"/>
      <x:c r="E1" s="3"/>
      <x:c r="F1" s="3"/>
      <x:c r="G1" s="3"/>
      <x:c r="H1" s="3"/>
    </x:row>
    <x:row r="2" ht="28" customHeight="1">
      <x:c r="A2" s="7" t="str">
        <x:v>所有收入、毛利、费用及少数股东利润均由“核心假设”公式驱动。自用线材/耗材与集团内部设备销售不计合并收入。</x:v>
      </x:c>
      <x:c r="B2" s="7"/>
      <x:c r="C2" s="7"/>
      <x:c r="D2" s="7"/>
      <x:c r="E2" s="7"/>
      <x:c r="F2" s="7"/>
      <x:c r="G2" s="7"/>
      <x:c r="H2" s="7"/>
    </x:row>
    <x:row r="4" ht="22" customHeight="1">
      <x:c r="A4" s="10" t="str">
        <x:v>悲观情景</x:v>
      </x:c>
      <x:c r="B4" s="10"/>
      <x:c r="C4" s="10"/>
      <x:c r="D4" s="10"/>
      <x:c r="E4" s="10"/>
      <x:c r="F4" s="10"/>
    </x:row>
    <x:row r="5">
      <x:c r="A5" s="26" t="str">
        <x:v>指标</x:v>
      </x:c>
      <x:c r="B5" s="26" t="str">
        <x:v>2026E</x:v>
      </x:c>
      <x:c r="C5" s="26" t="str">
        <x:v>2027E</x:v>
      </x:c>
      <x:c r="D5" s="26" t="str">
        <x:v>2028E</x:v>
      </x:c>
      <x:c r="E5" s="26" t="str">
        <x:v>2029E</x:v>
      </x:c>
      <x:c r="F5" s="26" t="str">
        <x:v>2030E</x:v>
      </x:c>
    </x:row>
    <x:row r="6">
      <x:c r="A6" s="32" t="str">
        <x:v>前端等效加工片数（百万片）</x:v>
      </x:c>
      <x:c r="B6" s="34" t="n">
        <x:f>'核心假设'!B6*'核心假设'!B7*'核心假设'!B8*'核心假设'!B9</x:f>
        <x:v>8.910000000000002</x:v>
      </x:c>
      <x:c r="C6" s="34" t="n">
        <x:f>'核心假设'!C6*'核心假设'!C7*'核心假设'!C8*'核心假设'!C9</x:f>
        <x:v>49.8663</x:v>
      </x:c>
      <x:c r="D6" s="34" t="n">
        <x:f>'核心假设'!D6*'核心假设'!D7*'核心假设'!D8*'核心假设'!D9</x:f>
        <x:v>65.61</x:v>
      </x:c>
      <x:c r="E6" s="34" t="n">
        <x:f>'核心假设'!E6*'核心假设'!E7*'核心假设'!E8*'核心假设'!E9</x:f>
        <x:v>78.408</x:v>
      </x:c>
      <x:c r="F6" s="34" t="n">
        <x:f>'核心假设'!F6*'核心假设'!F7*'核心假设'!F8*'核心假设'!F9</x:f>
        <x:v>89.85600000000001</x:v>
      </x:c>
    </x:row>
    <x:row r="7">
      <x:c r="A7" s="32" t="str">
        <x:v>加工收入</x:v>
      </x:c>
      <x:c r="B7" s="34" t="n">
        <x:f>B6*'核心假设'!B10</x:f>
        <x:v>53.46000000000001</x:v>
      </x:c>
      <x:c r="C7" s="34" t="n">
        <x:f>C6*'核心假设'!C10</x:f>
        <x:v>448.79670000000004</x:v>
      </x:c>
      <x:c r="D7" s="34" t="n">
        <x:f>D6*'核心假设'!D10</x:f>
        <x:v>603.612</x:v>
      </x:c>
      <x:c r="E7" s="34" t="n">
        <x:f>E6*'核心假设'!E10</x:f>
        <x:v>752.7168</x:v>
      </x:c>
      <x:c r="F7" s="34" t="n">
        <x:f>F6*'核心假设'!F10</x:f>
        <x:v>853.6320000000001</x:v>
      </x:c>
    </x:row>
    <x:row r="8">
      <x:c r="A8" s="32" t="str">
        <x:v>外售切割线收入</x:v>
      </x:c>
      <x:c r="B8" s="34" t="n">
        <x:f>B6*'核心假设'!B11*'核心假设'!B12</x:f>
        <x:v>0.5791500000000002</x:v>
      </x:c>
      <x:c r="C8" s="34" t="n">
        <x:f>C6*'核心假设'!C11*'核心假设'!C12</x:f>
        <x:v>17.453205</x:v>
      </x:c>
      <x:c r="D8" s="34" t="n">
        <x:f>D6*'核心假设'!D11*'核心假设'!D12</x:f>
        <x:v>20.66715</x:v>
      </x:c>
      <x:c r="E8" s="34" t="n">
        <x:f>E6*'核心假设'!E11*'核心假设'!E12</x:f>
        <x:v>22.581504</x:v>
      </x:c>
      <x:c r="F8" s="34" t="n">
        <x:f>F6*'核心假设'!F11*'核心假设'!F12</x:f>
        <x:v>26.597376000000004</x:v>
      </x:c>
    </x:row>
    <x:row r="9">
      <x:c r="A9" s="32" t="str">
        <x:v>首批设备毛收入</x:v>
      </x:c>
      <x:c r="B9" s="34" t="n">
        <x:f>'核心假设'!B17*'核心假设'!B18*'核心假设'!B19</x:f>
        <x:v>0</x:v>
      </x:c>
      <x:c r="C9" s="34" t="n">
        <x:f>'核心假设'!C17*'核心假设'!C18*'核心假设'!C19</x:f>
        <x:v>420</x:v>
      </x:c>
      <x:c r="D9" s="34" t="n">
        <x:f>'核心假设'!D17*'核心假设'!D18*'核心假设'!D19</x:f>
        <x:v>503.99999999999994</x:v>
      </x:c>
      <x:c r="E9" s="34" t="n">
        <x:f>'核心假设'!E17*'核心假设'!E18*'核心假设'!E19</x:f>
        <x:v>0</x:v>
      </x:c>
      <x:c r="F9" s="34" t="n">
        <x:f>'核心假设'!F17*'核心假设'!F18*'核心假设'!F19</x:f>
        <x:v>0</x:v>
      </x:c>
    </x:row>
    <x:row r="10">
      <x:c r="A10" s="32" t="str">
        <x:v>维护/海外/后续设备毛收入</x:v>
      </x:c>
      <x:c r="B10" s="34" t="n">
        <x:f>'核心假设'!B20</x:f>
        <x:v>0</x:v>
      </x:c>
      <x:c r="C10" s="34" t="n">
        <x:f>'核心假设'!C20</x:f>
        <x:v>180</x:v>
      </x:c>
      <x:c r="D10" s="34" t="n">
        <x:f>'核心假设'!D20</x:f>
        <x:v>0</x:v>
      </x:c>
      <x:c r="E10" s="34" t="n">
        <x:f>'核心假设'!E20</x:f>
        <x:v>600</x:v>
      </x:c>
      <x:c r="F10" s="34" t="n">
        <x:f>'核心假设'!F20</x:f>
        <x:v>550</x:v>
      </x:c>
    </x:row>
    <x:row r="11">
      <x:c r="A11" s="32" t="str">
        <x:v>外售设备收入合计</x:v>
      </x:c>
      <x:c r="B11" s="34" t="n">
        <x:f>SUM(B9:B10)*(1-'核心假设'!B22)</x:f>
        <x:v>0</x:v>
      </x:c>
      <x:c r="C11" s="34" t="n">
        <x:f>SUM(C9:C10)*(1-'核心假设'!C22)</x:f>
        <x:v>600</x:v>
      </x:c>
      <x:c r="D11" s="34" t="n">
        <x:f>SUM(D9:D10)*(1-'核心假设'!D22)</x:f>
        <x:v>503.99999999999994</x:v>
      </x:c>
      <x:c r="E11" s="34" t="n">
        <x:f>SUM(E9:E10)*(1-'核心假设'!E22)</x:f>
        <x:v>600</x:v>
      </x:c>
      <x:c r="F11" s="34" t="n">
        <x:f>SUM(F9:F10)*(1-'核心假设'!F22)</x:f>
        <x:v>550</x:v>
      </x:c>
    </x:row>
    <x:row r="12">
      <x:c r="A12" s="32" t="str">
        <x:v>外售耗材收入</x:v>
      </x:c>
      <x:c r="B12" s="34" t="n">
        <x:f>'核心假设'!B24*'核心假设'!B25</x:f>
        <x:v>16</x:v>
      </x:c>
      <x:c r="C12" s="34" t="n">
        <x:f>'核心假设'!C24*'核心假设'!C25</x:f>
        <x:v>400</x:v>
      </x:c>
      <x:c r="D12" s="34" t="n">
        <x:f>'核心假设'!D24*'核心假设'!D25</x:f>
        <x:v>450</x:v>
      </x:c>
      <x:c r="E12" s="34" t="n">
        <x:f>'核心假设'!E24*'核心假设'!E25</x:f>
        <x:v>520</x:v>
      </x:c>
      <x:c r="F12" s="34" t="n">
        <x:f>'核心假设'!F24*'核心假设'!F25</x:f>
        <x:v>510.00000000000006</x:v>
      </x:c>
    </x:row>
    <x:row r="13">
      <x:c r="A13" s="32" t="str">
        <x:v>存量业务收入</x:v>
      </x:c>
      <x:c r="B13" s="34" t="n">
        <x:f>'核心假设'!B29</x:f>
        <x:v>420</x:v>
      </x:c>
      <x:c r="C13" s="34" t="n">
        <x:f>'核心假设'!C29</x:f>
        <x:v>400</x:v>
      </x:c>
      <x:c r="D13" s="34" t="n">
        <x:f>'核心假设'!D29</x:f>
        <x:v>420</x:v>
      </x:c>
      <x:c r="E13" s="34" t="n">
        <x:f>'核心假设'!E29</x:f>
        <x:v>440</x:v>
      </x:c>
      <x:c r="F13" s="34" t="n">
        <x:f>'核心假设'!F29</x:f>
        <x:v>460</x:v>
      </x:c>
    </x:row>
    <x:row r="14">
      <x:c r="A14" s="105" t="str">
        <x:v>营业收入</x:v>
      </x:c>
      <x:c r="B14" s="106" t="n">
        <x:f>SUM(B7,B8,B11,B12,B13)</x:f>
        <x:v>490.03915</x:v>
      </x:c>
      <x:c r="C14" s="106" t="n">
        <x:f>SUM(C7,C8,C11,C12,C13)</x:f>
        <x:v>1866.2499050000001</x:v>
      </x:c>
      <x:c r="D14" s="106" t="n">
        <x:f>SUM(D7,D8,D11,D12,D13)</x:f>
        <x:v>1998.2791499999998</x:v>
      </x:c>
      <x:c r="E14" s="106" t="n">
        <x:f>SUM(E7,E8,E11,E12,E13)</x:f>
        <x:v>2335.298304</x:v>
      </x:c>
      <x:c r="F14" s="106" t="n">
        <x:f>SUM(F7,F8,F11,F12,F13)</x:f>
        <x:v>2400.2293760000002</x:v>
      </x:c>
    </x:row>
    <x:row r="15">
      <x:c r="A15" s="32" t="str">
        <x:v>消费电子收入</x:v>
      </x:c>
      <x:c r="B15" s="34" t="n">
        <x:f>SUM(B7,B8,B11,B12)</x:f>
        <x:v>70.03915</x:v>
      </x:c>
      <x:c r="C15" s="34" t="n">
        <x:f>SUM(C7,C8,C11,C12)</x:f>
        <x:v>1466.2499050000001</x:v>
      </x:c>
      <x:c r="D15" s="34" t="n">
        <x:f>SUM(D7,D8,D11,D12)</x:f>
        <x:v>1578.2791499999998</x:v>
      </x:c>
      <x:c r="E15" s="34" t="n">
        <x:f>SUM(E7,E8,E11,E12)</x:f>
        <x:v>1895.298304</x:v>
      </x:c>
      <x:c r="F15" s="34" t="n">
        <x:f>SUM(F7,F8,F11,F12)</x:f>
        <x:v>1940.2293760000002</x:v>
      </x:c>
    </x:row>
    <x:row r="16">
      <x:c r="A16" s="32" t="str">
        <x:v>消费电子收入占比</x:v>
      </x:c>
      <x:c r="B16" s="36" t="n">
        <x:f>B15/B14</x:f>
        <x:v>0.14292562135086556</x:v>
      </x:c>
      <x:c r="C16" s="36" t="n">
        <x:f>C15/C14</x:f>
        <x:v>0.7856664324920622</x:v>
      </x:c>
      <x:c r="D16" s="36" t="n">
        <x:f>D15/D14</x:f>
        <x:v>0.789819155146567</x:v>
      </x:c>
      <x:c r="E16" s="36" t="n">
        <x:f>E15/E14</x:f>
        <x:v>0.8115872395203864</x:v>
      </x:c>
      <x:c r="F16" s="36" t="n">
        <x:f>F15/F14</x:f>
        <x:v>0.8083516498049893</x:v>
      </x:c>
    </x:row>
    <x:row r="17">
      <x:c r="A17" s="32" t="str">
        <x:v>内部收入抵销（线材＋设备）</x:v>
      </x:c>
      <x:c r="B17" s="34" t="n">
        <x:f>B6*(1-'核心假设'!B11)*'核心假设'!B12+SUM(B9:B10)*'核心假设'!B22</x:f>
        <x:v>0.31185000000000007</x:v>
      </x:c>
      <x:c r="C17" s="34" t="n">
        <x:f>C6*(1-'核心假设'!C11)*'核心假设'!C12+SUM(C9:C10)*'核心假设'!C22</x:f>
        <x:v>7.479945000000002</x:v>
      </x:c>
      <x:c r="D17" s="34" t="n">
        <x:f>D6*(1-'核心假设'!D11)*'核心假设'!D12+SUM(D9:D10)*'核心假设'!D22</x:f>
        <x:v>8.857350000000002</x:v>
      </x:c>
      <x:c r="E17" s="34" t="n">
        <x:f>E6*(1-'核心假设'!E11)*'核心假设'!E12+SUM(E9:E10)*'核心假设'!E22</x:f>
        <x:v>8.781696000000002</x:v>
      </x:c>
      <x:c r="F17" s="34" t="n">
        <x:f>F6*(1-'核心假设'!F11)*'核心假设'!F12+SUM(F9:F10)*'核心假设'!F22</x:f>
        <x:v>9.345024</x:v>
      </x:c>
    </x:row>
    <x:row r="18">
      <x:c r="A18" s="96" t="str">
        <x:v>毛利桥</x:v>
      </x:c>
      <x:c r="B18" s="97"/>
      <x:c r="C18" s="97"/>
      <x:c r="D18" s="97"/>
      <x:c r="E18" s="97"/>
      <x:c r="F18" s="97"/>
    </x:row>
    <x:row r="19">
      <x:c r="A19" s="32" t="str">
        <x:v>存量业务毛利</x:v>
      </x:c>
      <x:c r="B19" s="34" t="n">
        <x:f>B13*'核心假设'!B30</x:f>
        <x:v>79.8</x:v>
      </x:c>
      <x:c r="C19" s="34" t="n">
        <x:f>C13*'核心假设'!C30</x:f>
        <x:v>64</x:v>
      </x:c>
      <x:c r="D19" s="34" t="n">
        <x:f>D13*'核心假设'!D30</x:f>
        <x:v>71.4</x:v>
      </x:c>
      <x:c r="E19" s="34" t="n">
        <x:f>E13*'核心假设'!E30</x:f>
        <x:v>79.2</x:v>
      </x:c>
      <x:c r="F19" s="34" t="n">
        <x:f>F13*'核心假设'!F30</x:f>
        <x:v>87.4</x:v>
      </x:c>
    </x:row>
    <x:row r="20">
      <x:c r="A20" s="32" t="str">
        <x:v>加工毛利</x:v>
      </x:c>
      <x:c r="B20" s="34" t="n">
        <x:f>B7*'核心假设'!B13</x:f>
        <x:v>16.038</x:v>
      </x:c>
      <x:c r="C20" s="34" t="n">
        <x:f>C7*'核心假设'!C13</x:f>
        <x:v>139.126977</x:v>
      </x:c>
      <x:c r="D20" s="34" t="n">
        <x:f>D7*'核心假设'!D13</x:f>
        <x:v>193.15583999999998</x:v>
      </x:c>
      <x:c r="E20" s="34" t="n">
        <x:f>E7*'核心假设'!E13</x:f>
        <x:v>248.39654400000003</x:v>
      </x:c>
      <x:c r="F20" s="34" t="n">
        <x:f>F7*'核心假设'!F13</x:f>
        <x:v>290.23488000000003</x:v>
      </x:c>
    </x:row>
    <x:row r="21">
      <x:c r="A21" s="32" t="str">
        <x:v>外售切割线毛利</x:v>
      </x:c>
      <x:c r="B21" s="34" t="n">
        <x:f>B8*'核心假设'!B14</x:f>
        <x:v>0.09561766500000003</x:v>
      </x:c>
      <x:c r="C21" s="34" t="n">
        <x:f>C8*'核心假设'!C14</x:f>
        <x:v>2.96704485</x:v>
      </x:c>
      <x:c r="D21" s="34" t="n">
        <x:f>D8*'核心假设'!D14</x:f>
        <x:v>3.720087</x:v>
      </x:c>
      <x:c r="E21" s="34" t="n">
        <x:f>E8*'核心假设'!E14</x:f>
        <x:v>4.29048576</x:v>
      </x:c>
      <x:c r="F21" s="34" t="n">
        <x:f>F8*'核心假设'!F14</x:f>
        <x:v>5.319475200000001</x:v>
      </x:c>
    </x:row>
    <x:row r="22">
      <x:c r="A22" s="32" t="str">
        <x:v>设备毛利</x:v>
      </x:c>
      <x:c r="B22" s="34" t="n">
        <x:f>B11*'核心假设'!B21</x:f>
        <x:v>0</x:v>
      </x:c>
      <x:c r="C22" s="34" t="n">
        <x:f>C11*'核心假设'!C21</x:f>
        <x:v>180</x:v>
      </x:c>
      <x:c r="D22" s="34" t="n">
        <x:f>D11*'核心假设'!D21</x:f>
        <x:v>151.2</x:v>
      </x:c>
      <x:c r="E22" s="34" t="n">
        <x:f>E11*'核心假设'!E21</x:f>
        <x:v>180</x:v>
      </x:c>
      <x:c r="F22" s="34" t="n">
        <x:f>F11*'核心假设'!F21</x:f>
        <x:v>165</x:v>
      </x:c>
    </x:row>
    <x:row r="23">
      <x:c r="A23" s="32" t="str">
        <x:v>耗材毛利</x:v>
      </x:c>
      <x:c r="B23" s="34" t="n">
        <x:f>B12*'核心假设'!B26</x:f>
        <x:v>4.8</x:v>
      </x:c>
      <x:c r="C23" s="34" t="n">
        <x:f>C12*'核心假设'!C26</x:f>
        <x:v>120</x:v>
      </x:c>
      <x:c r="D23" s="34" t="n">
        <x:f>D12*'核心假设'!D26</x:f>
        <x:v>135</x:v>
      </x:c>
      <x:c r="E23" s="34" t="n">
        <x:f>E12*'核心假设'!E26</x:f>
        <x:v>156</x:v>
      </x:c>
      <x:c r="F23" s="34" t="n">
        <x:f>F12*'核心假设'!F26</x:f>
        <x:v>153</x:v>
      </x:c>
    </x:row>
    <x:row r="24">
      <x:c r="A24" s="101" t="str">
        <x:v>毛利合计</x:v>
      </x:c>
      <x:c r="B24" s="102" t="n">
        <x:f>SUM(B19:B23)</x:f>
        <x:v>100.733617665</x:v>
      </x:c>
      <x:c r="C24" s="102" t="n">
        <x:f>SUM(C19:C23)</x:f>
        <x:v>506.09402185</x:v>
      </x:c>
      <x:c r="D24" s="102" t="n">
        <x:f>SUM(D19:D23)</x:f>
        <x:v>554.475927</x:v>
      </x:c>
      <x:c r="E24" s="102" t="n">
        <x:f>SUM(E19:E23)</x:f>
        <x:v>667.8870297600001</x:v>
      </x:c>
      <x:c r="F24" s="102" t="n">
        <x:f>SUM(F19:F23)</x:f>
        <x:v>700.9543552</x:v>
      </x:c>
    </x:row>
    <x:row r="25">
      <x:c r="A25" s="101" t="str">
        <x:v>综合毛利率</x:v>
      </x:c>
      <x:c r="B25" s="107" t="n">
        <x:f>B24/B14</x:f>
        <x:v>0.20556238754597464</x:v>
      </x:c>
      <x:c r="C25" s="107" t="n">
        <x:f>C24/C14</x:f>
        <x:v>0.2711823429938768</x:v>
      </x:c>
      <x:c r="D25" s="107" t="n">
        <x:f>D24/D14</x:f>
        <x:v>0.27747671139940583</x:v>
      </x:c>
      <x:c r="E25" s="107" t="n">
        <x:f>E24/E14</x:f>
        <x:v>0.2859964521945716</x:v>
      </x:c>
      <x:c r="F25" s="107" t="n">
        <x:f>F24/F14</x:f>
        <x:v>0.2920364037741033</x:v>
      </x:c>
    </x:row>
    <x:row r="26">
      <x:c r="B26" s="27"/>
      <x:c r="C26" s="27"/>
      <x:c r="D26" s="27"/>
      <x:c r="E26" s="27"/>
      <x:c r="F26" s="27"/>
    </x:row>
    <x:row r="27">
      <x:c r="A27" s="96" t="str">
        <x:v>利润桥</x:v>
      </x:c>
      <x:c r="B27" s="97"/>
      <x:c r="C27" s="97"/>
      <x:c r="D27" s="97"/>
      <x:c r="E27" s="97"/>
      <x:c r="F27" s="97"/>
    </x:row>
    <x:row r="28">
      <x:c r="A28" s="32" t="str">
        <x:v>销售费用</x:v>
      </x:c>
      <x:c r="B28" s="34" t="n">
        <x:f>B14*'核心假设'!B31</x:f>
        <x:v>17.151370250000003</x:v>
      </x:c>
      <x:c r="C28" s="34" t="n">
        <x:f>C14*'核心假设'!C31</x:f>
        <x:v>52.25499734</x:v>
      </x:c>
      <x:c r="D28" s="34" t="n">
        <x:f>D14*'核心假设'!D31</x:f>
        <x:v>51.95525789999999</x:v>
      </x:c>
      <x:c r="E28" s="34" t="n">
        <x:f>E14*'核心假设'!E31</x:f>
        <x:v>56.047159296</x:v>
      </x:c>
      <x:c r="F28" s="34" t="n">
        <x:f>F14*'核心假设'!F31</x:f>
        <x:v>52.805046272</x:v>
      </x:c>
    </x:row>
    <x:row r="29">
      <x:c r="A29" s="32" t="str">
        <x:v>管理费用</x:v>
      </x:c>
      <x:c r="B29" s="34" t="n">
        <x:f>B14*'核心假设'!B32</x:f>
        <x:v>34.302740500000006</x:v>
      </x:c>
      <x:c r="C29" s="34" t="n">
        <x:f>C14*'核心假设'!C32</x:f>
        <x:v>93.31249525000001</x:v>
      </x:c>
      <x:c r="D29" s="34" t="n">
        <x:f>D14*'核心假设'!D32</x:f>
        <x:v>93.91912004999999</x:v>
      </x:c>
      <x:c r="E29" s="34" t="n">
        <x:f>E14*'核心假设'!E32</x:f>
        <x:v>100.417827072</x:v>
      </x:c>
      <x:c r="F29" s="34" t="n">
        <x:f>F14*'核心假设'!F32</x:f>
        <x:v>98.40940441600002</x:v>
      </x:c>
    </x:row>
    <x:row r="30">
      <x:c r="A30" s="32" t="str">
        <x:v>研发费用</x:v>
      </x:c>
      <x:c r="B30" s="34" t="n">
        <x:f>B14*'核心假设'!B33</x:f>
        <x:v>26.952153250000002</x:v>
      </x:c>
      <x:c r="C30" s="34" t="n">
        <x:f>C14*'核心假设'!C33</x:f>
        <x:v>70.91749639</x:v>
      </x:c>
      <x:c r="D30" s="34" t="n">
        <x:f>D14*'核心假设'!D33</x:f>
        <x:v>69.93977025</x:v>
      </x:c>
      <x:c r="E30" s="34" t="n">
        <x:f>E14*'核心假设'!E33</x:f>
        <x:v>74.729545728</x:v>
      </x:c>
      <x:c r="F30" s="34" t="n">
        <x:f>F14*'核心假设'!F33</x:f>
        <x:v>72.00688128</x:v>
      </x:c>
    </x:row>
    <x:row r="31">
      <x:c r="A31" s="32" t="str">
        <x:v>财务费用</x:v>
      </x:c>
      <x:c r="B31" s="34" t="n">
        <x:f>B14*'核心假设'!B34</x:f>
        <x:v>9.800783000000001</x:v>
      </x:c>
      <x:c r="C31" s="34" t="n">
        <x:f>C14*'核心假设'!C34</x:f>
        <x:v>22.39499886</x:v>
      </x:c>
      <x:c r="D31" s="34" t="n">
        <x:f>D14*'核心假设'!D34</x:f>
        <x:v>23.979349799999998</x:v>
      </x:c>
      <x:c r="E31" s="34" t="n">
        <x:f>E14*'核心假设'!E34</x:f>
        <x:v>25.688281343999996</x:v>
      </x:c>
      <x:c r="F31" s="34" t="n">
        <x:f>F14*'核心假设'!F34</x:f>
        <x:v>24.002293760000004</x:v>
      </x:c>
    </x:row>
    <x:row r="32">
      <x:c r="A32" s="32" t="str">
        <x:v>减值损失</x:v>
      </x:c>
      <x:c r="B32" s="34" t="n">
        <x:f>'核心假设'!B35</x:f>
        <x:v>8</x:v>
      </x:c>
      <x:c r="C32" s="34" t="n">
        <x:f>'核心假设'!C35</x:f>
        <x:v>5</x:v>
      </x:c>
      <x:c r="D32" s="34" t="n">
        <x:f>'核心假设'!D35</x:f>
        <x:v>4</x:v>
      </x:c>
      <x:c r="E32" s="34" t="n">
        <x:f>'核心假设'!E35</x:f>
        <x:v>4</x:v>
      </x:c>
      <x:c r="F32" s="34" t="n">
        <x:f>'核心假设'!F35</x:f>
        <x:v>4</x:v>
      </x:c>
    </x:row>
    <x:row r="33">
      <x:c r="A33" s="32" t="str">
        <x:v>其他收益净额</x:v>
      </x:c>
      <x:c r="B33" s="34" t="n">
        <x:f>'核心假设'!B36</x:f>
        <x:v>4</x:v>
      </x:c>
      <x:c r="C33" s="34" t="n">
        <x:f>'核心假设'!C36</x:f>
        <x:v>3</x:v>
      </x:c>
      <x:c r="D33" s="34" t="n">
        <x:f>'核心假设'!D36</x:f>
        <x:v>3</x:v>
      </x:c>
      <x:c r="E33" s="34" t="n">
        <x:f>'核心假设'!E36</x:f>
        <x:v>3</x:v>
      </x:c>
      <x:c r="F33" s="34" t="n">
        <x:f>'核心假设'!F36</x:f>
        <x:v>3</x:v>
      </x:c>
    </x:row>
    <x:row r="34">
      <x:c r="A34" s="32" t="str">
        <x:v>税前利润</x:v>
      </x:c>
      <x:c r="B34" s="34" t="n">
        <x:f>B24-SUM(B28:B32)+B33</x:f>
        <x:v>8.52657066499998</x:v>
      </x:c>
      <x:c r="C34" s="34" t="n">
        <x:f>C24-SUM(C28:C32)+C33</x:f>
        <x:v>265.21403401</x:v>
      </x:c>
      <x:c r="D34" s="34" t="n">
        <x:f>D24-SUM(D28:D32)+D33</x:f>
        <x:v>313.68242899999996</x:v>
      </x:c>
      <x:c r="E34" s="34" t="n">
        <x:f>E24-SUM(E28:E32)+E33</x:f>
        <x:v>410.0042163200001</x:v>
      </x:c>
      <x:c r="F34" s="34" t="n">
        <x:f>F24-SUM(F28:F32)+F33</x:f>
        <x:v>452.730729472</x:v>
      </x:c>
    </x:row>
    <x:row r="35">
      <x:c r="A35" s="32" t="str">
        <x:v>所得税</x:v>
      </x:c>
      <x:c r="B35" s="34" t="n">
        <x:f>MAX(0,B34*'核心假设'!B37)</x:f>
        <x:v>1.6200484263499961</x:v>
      </x:c>
      <x:c r="C35" s="34" t="n">
        <x:f>MAX(0,C34*'核心假设'!C37)</x:f>
        <x:v>53.042806802</x:v>
      </x:c>
      <x:c r="D35" s="34" t="n">
        <x:f>MAX(0,D34*'核心假设'!D37)</x:f>
        <x:v>62.7364858</x:v>
      </x:c>
      <x:c r="E35" s="34" t="n">
        <x:f>MAX(0,E34*'核心假设'!E37)</x:f>
        <x:v>82.00084326400003</x:v>
      </x:c>
      <x:c r="F35" s="34" t="n">
        <x:f>MAX(0,F34*'核心假设'!F37)</x:f>
        <x:v>90.54614589440001</x:v>
      </x:c>
    </x:row>
    <x:row r="36">
      <x:c r="A36" s="32" t="str">
        <x:v>合并净利润</x:v>
      </x:c>
      <x:c r="B36" s="34" t="n">
        <x:f>B34-B35</x:f>
        <x:v>6.906522238649984</x:v>
      </x:c>
      <x:c r="C36" s="34" t="n">
        <x:f>C34-C35</x:f>
        <x:v>212.17122720799998</x:v>
      </x:c>
      <x:c r="D36" s="34" t="n">
        <x:f>D34-D35</x:f>
        <x:v>250.94594319999996</x:v>
      </x:c>
      <x:c r="E36" s="34" t="n">
        <x:f>E34-E35</x:f>
        <x:v>328.0033730560001</x:v>
      </x:c>
      <x:c r="F36" s="34" t="n">
        <x:f>F34-F35</x:f>
        <x:v>362.1845835776</x:v>
      </x:c>
    </x:row>
    <x:row r="37">
      <x:c r="B37" s="29"/>
      <x:c r="C37" s="29"/>
      <x:c r="D37" s="29"/>
      <x:c r="E37" s="29"/>
      <x:c r="F37" s="29"/>
    </x:row>
    <x:row r="38">
      <x:c r="A38" s="96" t="str">
        <x:v>少数股东与归母</x:v>
      </x:c>
      <x:c r="B38" s="98"/>
      <x:c r="C38" s="98"/>
      <x:c r="D38" s="98"/>
      <x:c r="E38" s="98"/>
      <x:c r="F38" s="98"/>
    </x:row>
    <x:row r="39">
      <x:c r="A39" s="32" t="str">
        <x:v>加工少数股东损益</x:v>
      </x:c>
      <x:c r="B39" s="34" t="n">
        <x:f>((B20-B7*('核心假设'!B31+'核心假设'!B32+'核心假设'!B33+'核心假设'!B34))-MAX(0,(B20-B7*('核心假设'!B31+'核心假设'!B32+'核心假设'!B33+'核心假设'!B34))*'核心假设'!B37))*'核心假设'!B39</x:f>
        <x:v>0.5196312</x:v>
      </x:c>
      <x:c r="C39" s="34" t="n">
        <x:f>((C20-C7*('核心假设'!C31+'核心假设'!C32+'核心假设'!C33+'核心假设'!C34))-MAX(0,(C20-C7*('核心假设'!C31+'核心假设'!C32+'核心假设'!C33+'核心假设'!C34))*'核心假设'!C37))*'核心假设'!C39</x:f>
        <x:v>6.534479952000002</x:v>
      </x:c>
      <x:c r="D39" s="34" t="n">
        <x:f>((D20-D7*('核心假设'!D31+'核心假设'!D32+'核心假设'!D33+'核心假设'!D34))-MAX(0,(D20-D7*('核心假设'!D31+'核心假设'!D32+'核心假设'!D33+'核心假设'!D34))*'核心假设'!D37))*'核心假设'!D39</x:f>
        <x:v>9.657792</x:v>
      </x:c>
      <x:c r="E39" s="34" t="n">
        <x:f>((E20-E7*('核心假设'!E31+'核心假设'!E32+'核心假设'!E33+'核心假设'!E34))-MAX(0,(E20-E7*('核心假设'!E31+'核心假设'!E32+'核心假设'!E33+'核心假设'!E34))*'核心假设'!E37))*'核心假设'!E39</x:f>
        <x:v>13.247815680000002</x:v>
      </x:c>
      <x:c r="F39" s="34" t="n">
        <x:f>((F20-F7*('核心假设'!F31+'核心假设'!F32+'核心假设'!F33+'核心假设'!F34))-MAX(0,(F20-F7*('核心假设'!F31+'核心假设'!F32+'核心假设'!F33+'核心假设'!F34))*'核心假设'!F37))*'核心假设'!F39</x:f>
        <x:v>16.18486272</x:v>
      </x:c>
    </x:row>
    <x:row r="40">
      <x:c r="A40" s="32" t="str">
        <x:v>设备少数股东损益</x:v>
      </x:c>
      <x:c r="B40" s="34" t="n">
        <x:f>((B22-B11*('核心假设'!B31+'核心假设'!B32+'核心假设'!B33+'核心假设'!B34))-MAX(0,(B22-B11*('核心假设'!B31+'核心假设'!B32+'核心假设'!B33+'核心假设'!B34))*'核心假设'!B37))*'核心假设'!B40</x:f>
        <x:v>0</x:v>
      </x:c>
      <x:c r="C40" s="34" t="n">
        <x:f>((C22-C11*('核心假设'!C31+'核心假设'!C32+'核心假设'!C33+'核心假设'!C34))-MAX(0,(C22-C11*('核心假设'!C31+'核心假设'!C32+'核心假设'!C33+'核心假设'!C34))*'核心假设'!C37))*'核心假设'!C40</x:f>
        <x:v>40.4544</x:v>
      </x:c>
      <x:c r="D40" s="34" t="n">
        <x:f>((D22-D11*('核心假设'!D31+'核心假设'!D32+'核心假设'!D33+'核心假设'!D34))-MAX(0,(D22-D11*('核心假设'!D31+'核心假设'!D32+'核心假设'!D33+'核心假设'!D34))*'核心假设'!D37))*'核心假设'!D40</x:f>
        <x:v>35.562239999999996</x:v>
      </x:c>
      <x:c r="E40" s="34" t="n">
        <x:f>((E22-E11*('核心假设'!E31+'核心假设'!E32+'核心假设'!E33+'核心假设'!E34))-MAX(0,(E22-E11*('核心假设'!E31+'核心假设'!E32+'核心假设'!E33+'核心假设'!E34))*'核心假设'!E37))*'核心假设'!E40</x:f>
        <x:v>44.688</x:v>
      </x:c>
      <x:c r="F40" s="34" t="n">
        <x:f>((F22-F11*('核心假设'!F31+'核心假设'!F32+'核心假设'!F33+'核心假设'!F34))-MAX(0,(F22-F11*('核心假设'!F31+'核心假设'!F32+'核心假设'!F33+'核心假设'!F34))*'核心假设'!F37))*'核心假设'!F40</x:f>
        <x:v>42.4732</x:v>
      </x:c>
    </x:row>
    <x:row r="41">
      <x:c r="A41" s="32" t="str">
        <x:v>耗材少数股东损益</x:v>
      </x:c>
      <x:c r="B41" s="34" t="n">
        <x:f>((B23-B12*('核心假设'!B31+'核心假设'!B32+'核心假设'!B33+'核心假设'!B34))-MAX(0,(B23-B12*('核心假设'!B31+'核心假设'!B32+'核心假设'!B33+'核心假设'!B34))*'核心假设'!B37))*'核心假设'!B41</x:f>
        <x:v>0.46656</x:v>
      </x:c>
      <x:c r="C41" s="34" t="n">
        <x:f>((C23-C12*('核心假设'!C31+'核心假设'!C32+'核心假设'!C33+'核心假设'!C34))-MAX(0,(C23-C12*('核心假设'!C31+'核心假设'!C32+'核心假设'!C33+'核心假设'!C34))*'核心假设'!C37))*'核心假设'!C41</x:f>
        <x:v>16.512</x:v>
      </x:c>
      <x:c r="D41" s="34" t="n">
        <x:f>((D23-D12*('核心假设'!D31+'核心假设'!D32+'核心假设'!D33+'核心假设'!D34))-MAX(0,(D23-D12*('核心假设'!D31+'核心假设'!D32+'核心假设'!D33+'核心假设'!D34))*'核心假设'!D37))*'核心假设'!D41</x:f>
        <x:v>19.439999999999998</x:v>
      </x:c>
      <x:c r="E41" s="34" t="n">
        <x:f>((E23-E12*('核心假设'!E31+'核心假设'!E32+'核心假设'!E33+'核心假设'!E34))-MAX(0,(E23-E12*('核心假设'!E31+'核心假设'!E32+'核心假设'!E33+'核心假设'!E34))*'核心假设'!E37))*'核心假设'!E41</x:f>
        <x:v>23.711999999999996</x:v>
      </x:c>
      <x:c r="F41" s="34" t="n">
        <x:f>((F23-F12*('核心假设'!F31+'核心假设'!F32+'核心假设'!F33+'核心假设'!F34))-MAX(0,(F23-F12*('核心假设'!F31+'核心假设'!F32+'核心假设'!F33+'核心假设'!F34))*'核心假设'!F37))*'核心假设'!F41</x:f>
        <x:v>24.1128</x:v>
      </x:c>
    </x:row>
    <x:row r="42">
      <x:c r="A42" s="32" t="str">
        <x:v>少数股东损益合计</x:v>
      </x:c>
      <x:c r="B42" s="34" t="n">
        <x:f>SUM(B39:B41)</x:f>
        <x:v>0.9861911999999999</x:v>
      </x:c>
      <x:c r="C42" s="34" t="n">
        <x:f>SUM(C39:C41)</x:f>
        <x:v>63.500879952000005</x:v>
      </x:c>
      <x:c r="D42" s="34" t="n">
        <x:f>SUM(D39:D41)</x:f>
        <x:v>64.660032</x:v>
      </x:c>
      <x:c r="E42" s="34" t="n">
        <x:f>SUM(E39:E41)</x:f>
        <x:v>81.64781568000001</x:v>
      </x:c>
      <x:c r="F42" s="34" t="n">
        <x:f>SUM(F39:F41)</x:f>
        <x:v>82.77086272</x:v>
      </x:c>
    </x:row>
    <x:row r="43">
      <x:c r="A43" s="114" t="str">
        <x:v>归母净利润</x:v>
      </x:c>
      <x:c r="B43" s="115" t="n">
        <x:f>B36-B42</x:f>
        <x:v>5.920331038649984</x:v>
      </x:c>
      <x:c r="C43" s="115" t="n">
        <x:f>C36-C42</x:f>
        <x:v>148.67034725599996</x:v>
      </x:c>
      <x:c r="D43" s="115" t="n">
        <x:f>D36-D42</x:f>
        <x:v>186.28591119999996</x:v>
      </x:c>
      <x:c r="E43" s="115" t="n">
        <x:f>E36-E42</x:f>
        <x:v>246.3555573760001</x:v>
      </x:c>
      <x:c r="F43" s="115" t="n">
        <x:f>F36-F42</x:f>
        <x:v>279.41372085759997</x:v>
      </x:c>
    </x:row>
    <x:row r="44">
      <x:c r="A44" s="114" t="str">
        <x:v>总股本（百万股）</x:v>
      </x:c>
      <x:c r="B44" s="115" t="n">
        <x:f>'核心假设'!B38</x:f>
        <x:v>397.028823</x:v>
      </x:c>
      <x:c r="C44" s="115" t="n">
        <x:f>'核心假设'!C38</x:f>
        <x:v>397.028823</x:v>
      </x:c>
      <x:c r="D44" s="115" t="n">
        <x:f>'核心假设'!D38</x:f>
        <x:v>397.028823</x:v>
      </x:c>
      <x:c r="E44" s="115" t="n">
        <x:f>'核心假设'!E38</x:f>
        <x:v>397.028823</x:v>
      </x:c>
      <x:c r="F44" s="115" t="n">
        <x:f>'核心假设'!F38</x:f>
        <x:v>397.028823</x:v>
      </x:c>
    </x:row>
    <x:row r="45">
      <x:c r="A45" s="114" t="str">
        <x:v>EPS（元/股）</x:v>
      </x:c>
      <x:c r="B45" s="116" t="n">
        <x:f>B43/B44</x:f>
        <x:v>0.01491159002995101</x:v>
      </x:c>
      <x:c r="C45" s="116" t="n">
        <x:f>C43/C44</x:f>
        <x:v>0.37445731554859923</x:v>
      </x:c>
      <x:c r="D45" s="116" t="n">
        <x:f>D43/D44</x:f>
        <x:v>0.4691999683861742</x:v>
      </x:c>
      <x:c r="E45" s="116" t="n">
        <x:f>E43/E44</x:f>
        <x:v>0.6204979162835241</x:v>
      </x:c>
      <x:c r="F45" s="116" t="n">
        <x:f>F43/F44</x:f>
        <x:v>0.7037618043604859</x:v>
      </x:c>
    </x:row>
    <x:row r="46">
      <x:c r="B46" s="27"/>
      <x:c r="C46" s="27"/>
      <x:c r="D46" s="27"/>
      <x:c r="E46" s="27"/>
      <x:c r="F46" s="27"/>
    </x:row>
    <x:row r="47">
      <x:c r="A47" s="96" t="str">
        <x:v>模型检查</x:v>
      </x:c>
      <x:c r="B47" s="97"/>
      <x:c r="C47" s="97"/>
      <x:c r="D47" s="97"/>
      <x:c r="E47" s="97"/>
      <x:c r="F47" s="97"/>
    </x:row>
    <x:row r="48">
      <x:c r="A48" s="32" t="str">
        <x:v>收入勾稽差</x:v>
      </x:c>
      <x:c r="B48" s="100" t="n">
        <x:f>(SUM(B7,B8,B11,B12,B13)+B17)-B17-B14</x:f>
        <x:v>0</x:v>
      </x:c>
      <x:c r="C48" s="100" t="n">
        <x:f>(SUM(C7,C8,C11,C12,C13)+C17)-C17-C14</x:f>
        <x:v>0</x:v>
      </x:c>
      <x:c r="D48" s="100" t="n">
        <x:f>(SUM(D7,D8,D11,D12,D13)+D17)-D17-D14</x:f>
        <x:v>0</x:v>
      </x:c>
      <x:c r="E48" s="100" t="n">
        <x:f>(SUM(E7,E8,E11,E12,E13)+E17)-E17-E14</x:f>
        <x:v>0</x:v>
      </x:c>
      <x:c r="F48" s="100" t="n">
        <x:f>(SUM(F7,F8,F11,F12,F13)+F17)-F17-F14</x:f>
        <x:v>0</x:v>
      </x:c>
    </x:row>
    <x:row r="49">
      <x:c r="A49" s="32" t="str">
        <x:v>毛利勾稽差</x:v>
      </x:c>
      <x:c r="B49" s="100" t="n">
        <x:f>B24-SUM(B19:B23)</x:f>
        <x:v>0</x:v>
      </x:c>
      <x:c r="C49" s="100" t="n">
        <x:f>C24-SUM(C19:C23)</x:f>
        <x:v>0</x:v>
      </x:c>
      <x:c r="D49" s="100" t="n">
        <x:f>D24-SUM(D19:D23)</x:f>
        <x:v>0</x:v>
      </x:c>
      <x:c r="E49" s="100" t="n">
        <x:f>E24-SUM(E19:E23)</x:f>
        <x:v>0</x:v>
      </x:c>
      <x:c r="F49" s="100" t="n">
        <x:f>F24-SUM(F19:F23)</x:f>
        <x:v>0</x:v>
      </x:c>
    </x:row>
    <x:row r="53" ht="22" customHeight="1">
      <x:c r="A53" s="10" t="str">
        <x:v>基准情景</x:v>
      </x:c>
      <x:c r="B53" s="10"/>
      <x:c r="C53" s="10"/>
      <x:c r="D53" s="10"/>
      <x:c r="E53" s="10"/>
      <x:c r="F53" s="10"/>
    </x:row>
    <x:row r="54">
      <x:c r="A54" s="26" t="str">
        <x:v>指标</x:v>
      </x:c>
      <x:c r="B54" s="26" t="str">
        <x:v>2026E</x:v>
      </x:c>
      <x:c r="C54" s="26" t="str">
        <x:v>2027E</x:v>
      </x:c>
      <x:c r="D54" s="26" t="str">
        <x:v>2028E</x:v>
      </x:c>
      <x:c r="E54" s="26" t="str">
        <x:v>2029E</x:v>
      </x:c>
      <x:c r="F54" s="26" t="str">
        <x:v>2030E</x:v>
      </x:c>
    </x:row>
    <x:row r="55">
      <x:c r="A55" s="32" t="str">
        <x:v>前端等效加工片数（百万片）</x:v>
      </x:c>
      <x:c r="B55" s="34" t="n">
        <x:f>'核心假设'!I6*'核心假设'!I7*'核心假设'!I8*'核心假设'!I9</x:f>
        <x:v>14.050500000000001</x:v>
      </x:c>
      <x:c r="C55" s="34" t="n">
        <x:f>'核心假设'!J6*'核心假设'!J7*'核心假设'!J8*'核心假设'!J9</x:f>
        <x:v>65.52</x:v>
      </x:c>
      <x:c r="D55" s="34" t="n">
        <x:f>'核心假设'!K6*'核心假设'!K7*'核心假设'!K8*'核心假设'!K9</x:f>
        <x:v>94.3488</x:v>
      </x:c>
      <x:c r="E55" s="34" t="n">
        <x:f>'核心假设'!L6*'核心假设'!L7*'核心假设'!L8*'核心假设'!L9</x:f>
        <x:v>115.42500000000001</x:v>
      </x:c>
      <x:c r="F55" s="34" t="n">
        <x:f>'核心假设'!M6*'核心假设'!M7*'核心假设'!M8*'核心假设'!M9</x:f>
        <x:v>132.81840000000003</x:v>
      </x:c>
    </x:row>
    <x:row r="56">
      <x:c r="A56" s="32" t="str">
        <x:v>加工收入</x:v>
      </x:c>
      <x:c r="B56" s="34" t="n">
        <x:f>B55*'核心假设'!I10</x:f>
        <x:v>98.35350000000001</x:v>
      </x:c>
      <x:c r="C56" s="34" t="n">
        <x:f>C55*'核心假设'!J10</x:f>
        <x:v>655.1999999999999</x:v>
      </x:c>
      <x:c r="D56" s="34" t="n">
        <x:f>D55*'核心假设'!K10</x:f>
        <x:v>990.6623999999999</x:v>
      </x:c>
      <x:c r="E56" s="34" t="n">
        <x:f>E55*'核心假设'!L10</x:f>
        <x:v>1269.6750000000002</x:v>
      </x:c>
      <x:c r="F56" s="34" t="n">
        <x:f>F55*'核心假设'!M10</x:f>
        <x:v>1527.4116000000004</x:v>
      </x:c>
    </x:row>
    <x:row r="57">
      <x:c r="A57" s="32" t="str">
        <x:v>外售切割线收入</x:v>
      </x:c>
      <x:c r="B57" s="34" t="n">
        <x:f>B55*'核心假设'!I11*'核心假设'!I12</x:f>
        <x:v>2.107575</x:v>
      </x:c>
      <x:c r="C57" s="34" t="n">
        <x:f>C55*'核心假设'!J11*'核心假设'!J12</x:f>
        <x:v>49.14</x:v>
      </x:c>
      <x:c r="D57" s="34" t="n">
        <x:f>D55*'核心假设'!K11*'核心假设'!K12</x:f>
        <x:v>44.1552384</x:v>
      </x:c>
      <x:c r="E57" s="34" t="n">
        <x:f>E55*'核心假设'!L11*'核心假设'!L12</x:f>
        <x:v>43.284375000000004</x:v>
      </x:c>
      <x:c r="F57" s="34" t="n">
        <x:f>F55*'核心假设'!M11*'核心假设'!M12</x:f>
        <x:v>56.97909360000001</x:v>
      </x:c>
    </x:row>
    <x:row r="58">
      <x:c r="A58" s="32" t="str">
        <x:v>首批设备毛收入</x:v>
      </x:c>
      <x:c r="B58" s="34" t="n">
        <x:f>'核心假设'!I17*'核心假设'!I18*'核心假设'!I19</x:f>
        <x:v>0</x:v>
      </x:c>
      <x:c r="C58" s="34" t="n">
        <x:f>'核心假设'!J17*'核心假设'!J18*'核心假设'!J19</x:f>
        <x:v>750</x:v>
      </x:c>
      <x:c r="D58" s="34" t="n">
        <x:f>'核心假设'!K17*'核心假设'!K18*'核心假设'!K19</x:f>
        <x:v>900</x:v>
      </x:c>
      <x:c r="E58" s="34" t="n">
        <x:f>'核心假设'!L17*'核心假设'!L18*'核心假设'!L19</x:f>
        <x:v>0</x:v>
      </x:c>
      <x:c r="F58" s="34" t="n">
        <x:f>'核心假设'!M17*'核心假设'!M18*'核心假设'!M19</x:f>
        <x:v>0</x:v>
      </x:c>
    </x:row>
    <x:row r="59">
      <x:c r="A59" s="32" t="str">
        <x:v>维护/海外/后续设备毛收入</x:v>
      </x:c>
      <x:c r="B59" s="34" t="n">
        <x:f>'核心假设'!I20</x:f>
        <x:v>100</x:v>
      </x:c>
      <x:c r="C59" s="34" t="n">
        <x:f>'核心假设'!J20</x:f>
        <x:v>450</x:v>
      </x:c>
      <x:c r="D59" s="34" t="n">
        <x:f>'核心假设'!K20</x:f>
        <x:v>450</x:v>
      </x:c>
      <x:c r="E59" s="34" t="n">
        <x:f>'核心假设'!L20</x:f>
        <x:v>1560</x:v>
      </x:c>
      <x:c r="F59" s="34" t="n">
        <x:f>'核心假设'!M20</x:f>
        <x:v>1600</x:v>
      </x:c>
    </x:row>
    <x:row r="60">
      <x:c r="A60" s="32" t="str">
        <x:v>外售设备收入合计</x:v>
      </x:c>
      <x:c r="B60" s="34" t="n">
        <x:f>SUM(B58:B59)*(1-'核心假设'!I22)</x:f>
        <x:v>100</x:v>
      </x:c>
      <x:c r="C60" s="34" t="n">
        <x:f>SUM(C58:C59)*(1-'核心假设'!J22)</x:f>
        <x:v>1200</x:v>
      </x:c>
      <x:c r="D60" s="34" t="n">
        <x:f>SUM(D58:D59)*(1-'核心假设'!K22)</x:f>
        <x:v>1350</x:v>
      </x:c>
      <x:c r="E60" s="34" t="n">
        <x:f>SUM(E58:E59)*(1-'核心假设'!L22)</x:f>
        <x:v>1560</x:v>
      </x:c>
      <x:c r="F60" s="34" t="n">
        <x:f>SUM(F58:F59)*(1-'核心假设'!M22)</x:f>
        <x:v>1600</x:v>
      </x:c>
    </x:row>
    <x:row r="61">
      <x:c r="A61" s="32" t="str">
        <x:v>外售耗材收入</x:v>
      </x:c>
      <x:c r="B61" s="34" t="n">
        <x:f>'核心假设'!I24*'核心假设'!I25</x:f>
        <x:v>25</x:v>
      </x:c>
      <x:c r="C61" s="34" t="n">
        <x:f>'核心假设'!J24*'核心假设'!J25</x:f>
        <x:v>500</x:v>
      </x:c>
      <x:c r="D61" s="34" t="n">
        <x:f>'核心假设'!K24*'核心假设'!K25</x:f>
        <x:v>711.7647058823528</x:v>
      </x:c>
      <x:c r="E61" s="34" t="n">
        <x:f>'核心假设'!L24*'核心假设'!L25</x:f>
        <x:v>955.8823529411765</x:v>
      </x:c>
      <x:c r="F61" s="34" t="n">
        <x:f>'核心假设'!M24*'核心假设'!M25</x:f>
        <x:v>1411.764705882353</x:v>
      </x:c>
    </x:row>
    <x:row r="62">
      <x:c r="A62" s="32" t="str">
        <x:v>存量业务收入</x:v>
      </x:c>
      <x:c r="B62" s="34" t="n">
        <x:f>'核心假设'!I29</x:f>
        <x:v>440</x:v>
      </x:c>
      <x:c r="C62" s="34" t="n">
        <x:f>'核心假设'!J29</x:f>
        <x:v>460</x:v>
      </x:c>
      <x:c r="D62" s="34" t="n">
        <x:f>'核心假设'!K29</x:f>
        <x:v>480</x:v>
      </x:c>
      <x:c r="E62" s="34" t="n">
        <x:f>'核心假设'!L29</x:f>
        <x:v>500</x:v>
      </x:c>
      <x:c r="F62" s="34" t="n">
        <x:f>'核心假设'!M29</x:f>
        <x:v>520</x:v>
      </x:c>
    </x:row>
    <x:row r="63">
      <x:c r="A63" s="105" t="str">
        <x:v>营业收入</x:v>
      </x:c>
      <x:c r="B63" s="106" t="n">
        <x:f>SUM(B56,B57,B60,B61,B62)</x:f>
        <x:v>665.4610749999999</x:v>
      </x:c>
      <x:c r="C63" s="106" t="n">
        <x:f>SUM(C56,C57,C60,C61,C62)</x:f>
        <x:v>2864.34</x:v>
      </x:c>
      <x:c r="D63" s="106" t="n">
        <x:f>SUM(D56,D57,D60,D61,D62)</x:f>
        <x:v>3576.5823442823526</x:v>
      </x:c>
      <x:c r="E63" s="106" t="n">
        <x:f>SUM(E56,E57,E60,E61,E62)</x:f>
        <x:v>4328.841727941177</x:v>
      </x:c>
      <x:c r="F63" s="106" t="n">
        <x:f>SUM(F56,F57,F60,F61,F62)</x:f>
        <x:v>5116.1553994823535</x:v>
      </x:c>
    </x:row>
    <x:row r="64">
      <x:c r="A64" s="32" t="str">
        <x:v>消费电子收入</x:v>
      </x:c>
      <x:c r="B64" s="34" t="n">
        <x:f>SUM(B56,B57,B60,B61)</x:f>
        <x:v>225.461075</x:v>
      </x:c>
      <x:c r="C64" s="34" t="n">
        <x:f>SUM(C56,C57,C60,C61)</x:f>
        <x:v>2404.34</x:v>
      </x:c>
      <x:c r="D64" s="34" t="n">
        <x:f>SUM(D56,D57,D60,D61)</x:f>
        <x:v>3096.5823442823526</x:v>
      </x:c>
      <x:c r="E64" s="34" t="n">
        <x:f>SUM(E56,E57,E60,E61)</x:f>
        <x:v>3828.841727941177</x:v>
      </x:c>
      <x:c r="F64" s="34" t="n">
        <x:f>SUM(F56,F57,F60,F61)</x:f>
        <x:v>4596.1553994823535</x:v>
      </x:c>
    </x:row>
    <x:row r="65">
      <x:c r="A65" s="32" t="str">
        <x:v>消费电子收入占比</x:v>
      </x:c>
      <x:c r="B65" s="36" t="n">
        <x:f>B64/B63</x:f>
        <x:v>0.3388043019646191</x:v>
      </x:c>
      <x:c r="C65" s="36" t="n">
        <x:f>C64/C63</x:f>
        <x:v>0.8394045399638311</x:v>
      </x:c>
      <x:c r="D65" s="36" t="n">
        <x:f>D64/D63</x:f>
        <x:v>0.8657936673071865</x:v>
      </x:c>
      <x:c r="E65" s="36" t="n">
        <x:f>E64/E63</x:f>
        <x:v>0.8844956615593791</x:v>
      </x:c>
      <x:c r="F65" s="36" t="n">
        <x:f>F64/F63</x:f>
        <x:v>0.898361179558265</x:v>
      </x:c>
    </x:row>
    <x:row r="66">
      <x:c r="A66" s="32" t="str">
        <x:v>内部收入抵销（线材＋设备）</x:v>
      </x:c>
      <x:c r="B66" s="34" t="n">
        <x:f>B55*(1-'核心假设'!I11)*'核心假设'!I12+SUM(B58:B59)*'核心假设'!I22</x:f>
        <x:v>1.4050500000000001</x:v>
      </x:c>
      <x:c r="C66" s="34" t="n">
        <x:f>C55*(1-'核心假设'!J11)*'核心假设'!J12+SUM(C58:C59)*'核心假设'!J22</x:f>
        <x:v>16.38</x:v>
      </x:c>
      <x:c r="D66" s="34" t="n">
        <x:f>D55*(1-'核心假设'!K11)*'核心假设'!K12+SUM(D58:D59)*'核心假设'!K22</x:f>
        <x:v>17.171481600000003</x:v>
      </x:c>
      <x:c r="E66" s="34" t="n">
        <x:f>E55*(1-'核心假设'!L11)*'核心假设'!L12+SUM(E58:E59)*'核心假设'!L22</x:f>
        <x:v>14.428125000000001</x:v>
      </x:c>
      <x:c r="F66" s="34" t="n">
        <x:f>F55*(1-'核心假设'!M11)*'核心假设'!M12+SUM(F58:F59)*'核心假设'!M22</x:f>
        <x:v>16.0710264</x:v>
      </x:c>
    </x:row>
    <x:row r="67">
      <x:c r="A67" s="96" t="str">
        <x:v>毛利桥</x:v>
      </x:c>
      <x:c r="B67" s="97"/>
      <x:c r="C67" s="97"/>
      <x:c r="D67" s="97"/>
      <x:c r="E67" s="97"/>
      <x:c r="F67" s="97"/>
    </x:row>
    <x:row r="68">
      <x:c r="A68" s="32" t="str">
        <x:v>存量业务毛利</x:v>
      </x:c>
      <x:c r="B68" s="34" t="n">
        <x:f>B62*'核心假设'!I30</x:f>
        <x:v>87.736</x:v>
      </x:c>
      <x:c r="C68" s="34" t="n">
        <x:f>C62*'核心假设'!J30</x:f>
        <x:v>92</x:v>
      </x:c>
      <x:c r="D68" s="34" t="n">
        <x:f>D62*'核心假设'!K30</x:f>
        <x:v>100.8</x:v>
      </x:c>
      <x:c r="E68" s="34" t="n">
        <x:f>E62*'核心假设'!L30</x:f>
        <x:v>110</x:v>
      </x:c>
      <x:c r="F68" s="34" t="n">
        <x:f>F62*'核心假设'!M30</x:f>
        <x:v>119.60000000000001</x:v>
      </x:c>
    </x:row>
    <x:row r="69">
      <x:c r="A69" s="32" t="str">
        <x:v>加工毛利</x:v>
      </x:c>
      <x:c r="B69" s="34" t="n">
        <x:f>B56*'核心假设'!I13</x:f>
        <x:v>35.259729750000005</x:v>
      </x:c>
      <x:c r="C69" s="34" t="n">
        <x:f>C56*'核心假设'!J13</x:f>
        <x:v>235.87199999999996</x:v>
      </x:c>
      <x:c r="D69" s="34" t="n">
        <x:f>D56*'核心假设'!K13</x:f>
        <x:v>366.54508799999996</x:v>
      </x:c>
      <x:c r="E69" s="34" t="n">
        <x:f>E56*'核心假设'!L13</x:f>
        <x:v>482.4765000000001</x:v>
      </x:c>
      <x:c r="F69" s="34" t="n">
        <x:f>F56*'核心假设'!M13</x:f>
        <x:v>595.6905240000002</x:v>
      </x:c>
    </x:row>
    <x:row r="70">
      <x:c r="A70" s="32" t="str">
        <x:v>外售切割线毛利</x:v>
      </x:c>
      <x:c r="B70" s="34" t="n">
        <x:f>B57*'核心假设'!I14</x:f>
        <x:v>0.4215150000000001</x:v>
      </x:c>
      <x:c r="C70" s="34" t="n">
        <x:f>C57*'核心假设'!J14</x:f>
        <x:v>10.8108</x:v>
      </x:c>
      <x:c r="D70" s="34" t="n">
        <x:f>D57*'核心假设'!K14</x:f>
        <x:v>10.597257216</x:v>
      </x:c>
      <x:c r="E70" s="34" t="n">
        <x:f>E57*'核心假设'!L14</x:f>
        <x:v>11.253937500000001</x:v>
      </x:c>
      <x:c r="F70" s="34" t="n">
        <x:f>F57*'核心假设'!M14</x:f>
        <x:v>15.954146208000004</x:v>
      </x:c>
    </x:row>
    <x:row r="71">
      <x:c r="A71" s="32" t="str">
        <x:v>设备毛利</x:v>
      </x:c>
      <x:c r="B71" s="34" t="n">
        <x:f>B60*'核心假设'!I21</x:f>
        <x:v>30</x:v>
      </x:c>
      <x:c r="C71" s="34" t="n">
        <x:f>C60*'核心假设'!J21</x:f>
        <x:v>360</x:v>
      </x:c>
      <x:c r="D71" s="34" t="n">
        <x:f>D60*'核心假设'!K21</x:f>
        <x:v>405</x:v>
      </x:c>
      <x:c r="E71" s="34" t="n">
        <x:f>E60*'核心假设'!L21</x:f>
        <x:v>468</x:v>
      </x:c>
      <x:c r="F71" s="34" t="n">
        <x:f>F60*'核心假设'!M21</x:f>
        <x:v>480</x:v>
      </x:c>
    </x:row>
    <x:row r="72">
      <x:c r="A72" s="32" t="str">
        <x:v>耗材毛利</x:v>
      </x:c>
      <x:c r="B72" s="34" t="n">
        <x:f>B61*'核心假设'!I26</x:f>
        <x:v>7.5</x:v>
      </x:c>
      <x:c r="C72" s="34" t="n">
        <x:f>C61*'核心假设'!J26</x:f>
        <x:v>150</x:v>
      </x:c>
      <x:c r="D72" s="34" t="n">
        <x:f>D61*'核心假设'!K26</x:f>
        <x:v>213.52941176470583</x:v>
      </x:c>
      <x:c r="E72" s="34" t="n">
        <x:f>E61*'核心假设'!L26</x:f>
        <x:v>286.7647058823529</x:v>
      </x:c>
      <x:c r="F72" s="34" t="n">
        <x:f>F61*'核心假设'!M26</x:f>
        <x:v>423.52941176470586</x:v>
      </x:c>
    </x:row>
    <x:row r="73">
      <x:c r="A73" s="101" t="str">
        <x:v>毛利合计</x:v>
      </x:c>
      <x:c r="B73" s="102" t="n">
        <x:f>SUM(B68:B72)</x:f>
        <x:v>160.91724475</x:v>
      </x:c>
      <x:c r="C73" s="102" t="n">
        <x:f>SUM(C68:C72)</x:f>
        <x:v>848.6827999999999</x:v>
      </x:c>
      <x:c r="D73" s="102" t="n">
        <x:f>SUM(D68:D72)</x:f>
        <x:v>1096.4717569807058</x:v>
      </x:c>
      <x:c r="E73" s="102" t="n">
        <x:f>SUM(E68:E72)</x:f>
        <x:v>1358.495143382353</x:v>
      </x:c>
      <x:c r="F73" s="102" t="n">
        <x:f>SUM(F68:F72)</x:f>
        <x:v>1634.774081972706</x:v>
      </x:c>
    </x:row>
    <x:row r="74">
      <x:c r="A74" s="101" t="str">
        <x:v>综合毛利率</x:v>
      </x:c>
      <x:c r="B74" s="107" t="n">
        <x:f>B73/B63</x:f>
        <x:v>0.2418131590191057</x:v>
      </x:c>
      <x:c r="C74" s="107" t="n">
        <x:f>C73/C63</x:f>
        <x:v>0.29629261889300845</x:v>
      </x:c>
      <x:c r="D74" s="107" t="n">
        <x:f>D73/D63</x:f>
        <x:v>0.30656969459505473</x:v>
      </x:c>
      <x:c r="E74" s="107" t="n">
        <x:f>E73/E63</x:f>
        <x:v>0.3138241656223503</x:v>
      </x:c>
      <x:c r="F74" s="107" t="n">
        <x:f>F73/F63</x:f>
        <x:v>0.31953174880851165</x:v>
      </x:c>
    </x:row>
    <x:row r="75">
      <x:c r="B75" s="27"/>
      <x:c r="C75" s="27"/>
      <x:c r="D75" s="27"/>
      <x:c r="E75" s="27"/>
      <x:c r="F75" s="27"/>
    </x:row>
    <x:row r="76">
      <x:c r="A76" s="96" t="str">
        <x:v>利润桥</x:v>
      </x:c>
      <x:c r="B76" s="97"/>
      <x:c r="C76" s="97"/>
      <x:c r="D76" s="97"/>
      <x:c r="E76" s="97"/>
      <x:c r="F76" s="97"/>
    </x:row>
    <x:row r="77">
      <x:c r="A77" s="32" t="str">
        <x:v>销售费用</x:v>
      </x:c>
      <x:c r="B77" s="34" t="n">
        <x:f>B63*'核心假设'!I31</x:f>
        <x:v>19.963832249999996</x:v>
      </x:c>
      <x:c r="C77" s="34" t="n">
        <x:f>C63*'核心假设'!J31</x:f>
        <x:v>40.10076</x:v>
      </x:c>
      <x:c r="D77" s="34" t="n">
        <x:f>D63*'核心假设'!K31</x:f>
        <x:v>42.91898813138823</x:v>
      </x:c>
      <x:c r="E77" s="34" t="n">
        <x:f>E63*'核心假设'!L31</x:f>
        <x:v>47.61725900735294</x:v>
      </x:c>
      <x:c r="F77" s="34" t="n">
        <x:f>F63*'核心假设'!M31</x:f>
        <x:v>51.161553994823535</x:v>
      </x:c>
    </x:row>
    <x:row r="78">
      <x:c r="A78" s="32" t="str">
        <x:v>管理费用</x:v>
      </x:c>
      <x:c r="B78" s="34" t="n">
        <x:f>B63*'核心假设'!I32</x:f>
        <x:v>39.92766449999999</x:v>
      </x:c>
      <x:c r="C78" s="34" t="n">
        <x:f>C63*'核心假设'!J32</x:f>
        <x:v>80.20152</x:v>
      </x:c>
      <x:c r="D78" s="34" t="n">
        <x:f>D63*'核心假设'!K32</x:f>
        <x:v>89.41455860705882</x:v>
      </x:c>
      <x:c r="E78" s="34" t="n">
        <x:f>E63*'核心假设'!L32</x:f>
        <x:v>99.56335974264707</x:v>
      </x:c>
      <x:c r="F78" s="34" t="n">
        <x:f>F63*'核心假设'!M32</x:f>
        <x:v>107.43926338912942</x:v>
      </x:c>
    </x:row>
    <x:row r="79">
      <x:c r="A79" s="32" t="str">
        <x:v>研发费用</x:v>
      </x:c>
      <x:c r="B79" s="34" t="n">
        <x:f>B63*'核心假设'!I33</x:f>
        <x:v>33.273053749999995</x:v>
      </x:c>
      <x:c r="C79" s="34" t="n">
        <x:f>C63*'核心假设'!J33</x:f>
        <x:v>60.151140000000005</x:v>
      </x:c>
      <x:c r="D79" s="34" t="n">
        <x:f>D63*'核心假设'!K33</x:f>
        <x:v>67.95506454136469</x:v>
      </x:c>
      <x:c r="E79" s="34" t="n">
        <x:f>E63*'核心假设'!L33</x:f>
        <x:v>73.59030937500002</x:v>
      </x:c>
      <x:c r="F79" s="34" t="n">
        <x:f>F63*'核心假设'!M33</x:f>
        <x:v>81.85848639171766</x:v>
      </x:c>
    </x:row>
    <x:row r="80">
      <x:c r="A80" s="32" t="str">
        <x:v>财务费用</x:v>
      </x:c>
      <x:c r="B80" s="34" t="n">
        <x:f>B63*'核心假设'!I34</x:f>
        <x:v>9.981916124999998</x:v>
      </x:c>
      <x:c r="C80" s="34" t="n">
        <x:f>C63*'核心假设'!J34</x:f>
        <x:v>14.321700000000002</x:v>
      </x:c>
      <x:c r="D80" s="34" t="n">
        <x:f>D63*'核心假设'!K34</x:f>
        <x:v>17.882911721411762</x:v>
      </x:c>
      <x:c r="E80" s="34" t="n">
        <x:f>E63*'核心假设'!L34</x:f>
        <x:v>17.31536691176471</x:v>
      </x:c>
      <x:c r="F80" s="34" t="n">
        <x:f>F63*'核心假设'!M34</x:f>
        <x:v>20.464621597929415</x:v>
      </x:c>
    </x:row>
    <x:row r="81">
      <x:c r="A81" s="32" t="str">
        <x:v>减值损失</x:v>
      </x:c>
      <x:c r="B81" s="34" t="n">
        <x:f>'核心假设'!I35</x:f>
        <x:v>5</x:v>
      </x:c>
      <x:c r="C81" s="34" t="n">
        <x:f>'核心假设'!J35</x:f>
        <x:v>3</x:v>
      </x:c>
      <x:c r="D81" s="34" t="n">
        <x:f>'核心假设'!K35</x:f>
        <x:v>3</x:v>
      </x:c>
      <x:c r="E81" s="34" t="n">
        <x:f>'核心假设'!L35</x:f>
        <x:v>3</x:v>
      </x:c>
      <x:c r="F81" s="34" t="n">
        <x:f>'核心假设'!M35</x:f>
        <x:v>3</x:v>
      </x:c>
    </x:row>
    <x:row r="82">
      <x:c r="A82" s="32" t="str">
        <x:v>其他收益净额</x:v>
      </x:c>
      <x:c r="B82" s="34" t="n">
        <x:f>'核心假设'!I36</x:f>
        <x:v>5</x:v>
      </x:c>
      <x:c r="C82" s="34" t="n">
        <x:f>'核心假设'!J36</x:f>
        <x:v>4</x:v>
      </x:c>
      <x:c r="D82" s="34" t="n">
        <x:f>'核心假设'!K36</x:f>
        <x:v>3</x:v>
      </x:c>
      <x:c r="E82" s="34" t="n">
        <x:f>'核心假设'!L36</x:f>
        <x:v>3</x:v>
      </x:c>
      <x:c r="F82" s="34" t="n">
        <x:f>'核心假设'!M36</x:f>
        <x:v>3</x:v>
      </x:c>
    </x:row>
    <x:row r="83">
      <x:c r="A83" s="32" t="str">
        <x:v>税前利润</x:v>
      </x:c>
      <x:c r="B83" s="34" t="n">
        <x:f>B73-SUM(B77:B81)+B82</x:f>
        <x:v>57.77077812500002</x:v>
      </x:c>
      <x:c r="C83" s="34" t="n">
        <x:f>C73-SUM(C77:C81)+C82</x:f>
        <x:v>654.9076799999999</x:v>
      </x:c>
      <x:c r="D83" s="34" t="n">
        <x:f>D73-SUM(D77:D81)+D82</x:f>
        <x:v>878.3002339794823</x:v>
      </x:c>
      <x:c r="E83" s="34" t="n">
        <x:f>E73-SUM(E77:E81)+E82</x:f>
        <x:v>1120.4088483455882</x:v>
      </x:c>
      <x:c r="F83" s="34" t="n">
        <x:f>F73-SUM(F77:F81)+F82</x:f>
        <x:v>1373.850156599106</x:v>
      </x:c>
    </x:row>
    <x:row r="84">
      <x:c r="A84" s="32" t="str">
        <x:v>所得税</x:v>
      </x:c>
      <x:c r="B84" s="34" t="n">
        <x:f>MAX(0,B83*'核心假设'!I37)</x:f>
        <x:v>10.976447843750003</x:v>
      </x:c>
      <x:c r="C84" s="34" t="n">
        <x:f>MAX(0,C83*'核心假设'!J37)</x:f>
        <x:v>130.98153599999998</x:v>
      </x:c>
      <x:c r="D84" s="34" t="n">
        <x:f>MAX(0,D83*'核心假设'!K37)</x:f>
        <x:v>175.66004679589648</x:v>
      </x:c>
      <x:c r="E84" s="34" t="n">
        <x:f>MAX(0,E83*'核心假设'!L37)</x:f>
        <x:v>224.08176966911765</x:v>
      </x:c>
      <x:c r="F84" s="34" t="n">
        <x:f>MAX(0,F83*'核心假设'!M37)</x:f>
        <x:v>274.7700313198212</x:v>
      </x:c>
    </x:row>
    <x:row r="85">
      <x:c r="A85" s="32" t="str">
        <x:v>合并净利润</x:v>
      </x:c>
      <x:c r="B85" s="34" t="n">
        <x:f>B83-B84</x:f>
        <x:v>46.79433028125002</x:v>
      </x:c>
      <x:c r="C85" s="34" t="n">
        <x:f>C83-C84</x:f>
        <x:v>523.9261439999999</x:v>
      </x:c>
      <x:c r="D85" s="34" t="n">
        <x:f>D83-D84</x:f>
        <x:v>702.6401871835858</x:v>
      </x:c>
      <x:c r="E85" s="34" t="n">
        <x:f>E83-E84</x:f>
        <x:v>896.3270786764706</x:v>
      </x:c>
      <x:c r="F85" s="34" t="n">
        <x:f>F83-F84</x:f>
        <x:v>1099.0801252792849</x:v>
      </x:c>
    </x:row>
    <x:row r="86">
      <x:c r="B86" s="29"/>
      <x:c r="C86" s="29"/>
      <x:c r="D86" s="29"/>
      <x:c r="E86" s="29"/>
      <x:c r="F86" s="29"/>
    </x:row>
    <x:row r="87">
      <x:c r="A87" s="96" t="str">
        <x:v>少数股东与归母</x:v>
      </x:c>
      <x:c r="B87" s="98"/>
      <x:c r="C87" s="98"/>
      <x:c r="D87" s="98"/>
      <x:c r="E87" s="98"/>
      <x:c r="F87" s="98"/>
    </x:row>
    <x:row r="88">
      <x:c r="A88" s="32" t="str">
        <x:v>加工少数股东损益</x:v>
      </x:c>
      <x:c r="B88" s="34" t="n">
        <x:f>((B69-B56*('核心假设'!I31+'核心假设'!I32+'核心假设'!I33+'核心假设'!I34))-MAX(0,(B69-B56*('核心假设'!I31+'核心假设'!I32+'核心假设'!I33+'核心假设'!I34))*'核心假设'!I37))*'核心假设'!I39</x:f>
        <x:v>1.6212099172500005</x:v>
      </x:c>
      <x:c r="C88" s="34" t="n">
        <x:f>((C69-C56*('核心假设'!J31+'核心假设'!J32+'核心假设'!J33+'核心假设'!J34))-MAX(0,(C69-C56*('核心假设'!J31+'核心假设'!J32+'核心假设'!J33+'核心假设'!J34))*'核心假设'!J37))*'核心假设'!J39</x:f>
        <x:v>15.305471999999998</x:v>
      </x:c>
      <x:c r="D88" s="34" t="n">
        <x:f>((D69-D56*('核心假设'!K31+'核心假设'!K32+'核心假设'!K33+'核心假设'!K34))-MAX(0,(D69-D56*('核心假设'!K31+'核心假设'!K32+'核心假设'!K33+'核心假设'!K34))*'核心假设'!K37))*'核心假设'!K39</x:f>
        <x:v>24.489174528</x:v>
      </x:c>
      <x:c r="E88" s="34" t="n">
        <x:f>((E69-E56*('核心假设'!L31+'核心假设'!L32+'核心假设'!L33+'核心假设'!L34))-MAX(0,(E69-E56*('核心假设'!L31+'核心假设'!L32+'核心假设'!L33+'核心假设'!L34))*'核心假设'!L37))*'核心假设'!L39</x:f>
        <x:v>33.01155000000001</x:v>
      </x:c>
      <x:c r="F88" s="34" t="n">
        <x:f>((F69-F56*('核心假设'!M31+'核心假设'!M32+'核心假设'!M33+'核心假设'!M34))-MAX(0,(F69-F56*('核心假设'!M31+'核心假设'!M32+'核心假设'!M33+'核心假设'!M34))*'核心假设'!M37))*'核心假设'!M39</x:f>
        <x:v>41.423402592000016</x:v>
      </x:c>
    </x:row>
    <x:row r="89">
      <x:c r="A89" s="32" t="str">
        <x:v>设备少数股东损益</x:v>
      </x:c>
      <x:c r="B89" s="34" t="n">
        <x:f>((B71-B60*('核心假设'!I31+'核心假设'!I32+'核心假设'!I33+'核心假设'!I34))-MAX(0,(B71-B60*('核心假设'!I31+'核心假设'!I32+'核心假设'!I33+'核心假设'!I34))*'核心假设'!I37))*'核心假设'!I40</x:f>
        <x:v>5.755049999999999</x:v>
      </x:c>
      <x:c r="C89" s="34" t="n">
        <x:f>((C71-C60*('核心假设'!J31+'核心假设'!J32+'核心假设'!J33+'核心假设'!J34))-MAX(0,(C71-C60*('核心假设'!J31+'核心假设'!J32+'核心假设'!J33+'核心假设'!J34))*'核心假设'!J37))*'核心假设'!J40</x:f>
        <x:v>109.13279999999999</x:v>
      </x:c>
      <x:c r="D89" s="34" t="n">
        <x:f>((D71-D60*('核心假设'!K31+'核心假设'!K32+'核心假设'!K33+'核心假设'!K34))-MAX(0,(D71-D60*('核心假设'!K31+'核心假设'!K32+'核心假设'!K33+'核心假设'!K34))*'核心假设'!K37))*'核心假设'!K40</x:f>
        <x:v>126.4788</x:v>
      </x:c>
      <x:c r="E89" s="34" t="n">
        <x:f>((E71-E60*('核心假设'!L31+'核心假设'!L32+'核心假设'!L33+'核心假设'!L34))-MAX(0,(E71-E60*('核心假设'!L31+'核心假设'!L32+'核心假设'!L33+'核心假设'!L34))*'核心假设'!L37))*'核心假设'!L40</x:f>
        <x:v>149.8224</x:v>
      </x:c>
      <x:c r="F89" s="34" t="n">
        <x:f>((F71-F60*('核心假设'!M31+'核心假设'!M32+'核心假设'!M33+'核心假设'!M34))-MAX(0,(F71-F60*('核心假设'!M31+'核心假设'!M32+'核心假设'!M33+'核心假设'!M34))*'核心假设'!M37))*'核心假设'!M40</x:f>
        <x:v>156.1728</x:v>
      </x:c>
    </x:row>
    <x:row r="90">
      <x:c r="A90" s="32" t="str">
        <x:v>耗材少数股东损益</x:v>
      </x:c>
      <x:c r="B90" s="34" t="n">
        <x:f>((B72-B61*('核心假设'!I31+'核心假设'!I32+'核心假设'!I33+'核心假设'!I34))-MAX(0,(B72-B61*('核心假设'!I31+'核心假设'!I32+'核心假设'!I33+'核心假设'!I34))*'核心假设'!I37))*'核心假设'!I41</x:f>
        <x:v>0.8808749999999997</x:v>
      </x:c>
      <x:c r="C90" s="34" t="n">
        <x:f>((C72-C61*('核心假设'!J31+'核心假设'!J32+'核心假设'!J33+'核心假设'!J34))-MAX(0,(C72-C61*('核心假设'!J31+'核心假设'!J32+'核心假设'!J33+'核心假设'!J34))*'核心假设'!J37))*'核心假设'!J41</x:f>
        <x:v>27.84</x:v>
      </x:c>
      <x:c r="D90" s="34" t="n">
        <x:f>((D72-D61*('核心假设'!K31+'核心假设'!K32+'核心假设'!K33+'核心假设'!K34))-MAX(0,(D72-D61*('核心假设'!K31+'核心假设'!K32+'核心假设'!K33+'核心假设'!K34))*'核心假设'!K37))*'核心假设'!K41</x:f>
        <x:v>40.826823529411755</x:v>
      </x:c>
      <x:c r="E90" s="34" t="n">
        <x:f>((E72-E61*('核心假设'!L31+'核心假设'!L32+'核心假设'!L33+'核心假设'!L34))-MAX(0,(E72-E61*('核心假设'!L31+'核心假设'!L32+'核心假设'!L33+'核心假设'!L34))*'核心假设'!L37))*'核心假设'!L41</x:f>
        <x:v>56.205882352941174</x:v>
      </x:c>
      <x:c r="F90" s="34" t="n">
        <x:f>((F72-F61*('核心假设'!M31+'核心假设'!M32+'核心假设'!M33+'核心假设'!M34))-MAX(0,(F72-F61*('核心假设'!M31+'核心假设'!M32+'核心假设'!M33+'核心假设'!M34))*'核心假设'!M37))*'核心假设'!M41</x:f>
        <x:v>84.3670588235294</x:v>
      </x:c>
    </x:row>
    <x:row r="91">
      <x:c r="A91" s="32" t="str">
        <x:v>少数股东损益合计</x:v>
      </x:c>
      <x:c r="B91" s="34" t="n">
        <x:f>SUM(B88:B90)</x:f>
        <x:v>8.25713491725</x:v>
      </x:c>
      <x:c r="C91" s="34" t="n">
        <x:f>SUM(C88:C90)</x:f>
        <x:v>152.278272</x:v>
      </x:c>
      <x:c r="D91" s="34" t="n">
        <x:f>SUM(D88:D90)</x:f>
        <x:v>191.79479805741175</x:v>
      </x:c>
      <x:c r="E91" s="34" t="n">
        <x:f>SUM(E88:E90)</x:f>
        <x:v>239.03983235294118</x:v>
      </x:c>
      <x:c r="F91" s="34" t="n">
        <x:f>SUM(F88:F90)</x:f>
        <x:v>281.9632614155294</x:v>
      </x:c>
    </x:row>
    <x:row r="92">
      <x:c r="A92" s="114" t="str">
        <x:v>归母净利润</x:v>
      </x:c>
      <x:c r="B92" s="115" t="n">
        <x:f>B85-B91</x:f>
        <x:v>38.53719536400002</x:v>
      </x:c>
      <x:c r="C92" s="115" t="n">
        <x:f>C85-C91</x:f>
        <x:v>371.6478719999999</x:v>
      </x:c>
      <x:c r="D92" s="115" t="n">
        <x:f>D85-D91</x:f>
        <x:v>510.84538912617404</x:v>
      </x:c>
      <x:c r="E92" s="115" t="n">
        <x:f>E85-E91</x:f>
        <x:v>657.2872463235294</x:v>
      </x:c>
      <x:c r="F92" s="115" t="n">
        <x:f>F85-F91</x:f>
        <x:v>817.1168638637555</x:v>
      </x:c>
    </x:row>
    <x:row r="93">
      <x:c r="A93" s="114" t="str">
        <x:v>总股本（百万股）</x:v>
      </x:c>
      <x:c r="B93" s="115" t="n">
        <x:f>'核心假设'!I38</x:f>
        <x:v>397.028823</x:v>
      </x:c>
      <x:c r="C93" s="115" t="n">
        <x:f>'核心假设'!J38</x:f>
        <x:v>397.028823</x:v>
      </x:c>
      <x:c r="D93" s="115" t="n">
        <x:f>'核心假设'!K38</x:f>
        <x:v>397.028823</x:v>
      </x:c>
      <x:c r="E93" s="115" t="n">
        <x:f>'核心假设'!L38</x:f>
        <x:v>397.028823</x:v>
      </x:c>
      <x:c r="F93" s="115" t="n">
        <x:f>'核心假设'!M38</x:f>
        <x:v>397.028823</x:v>
      </x:c>
    </x:row>
    <x:row r="94">
      <x:c r="A94" s="114" t="str">
        <x:v>EPS（元/股）</x:v>
      </x:c>
      <x:c r="B94" s="116" t="n">
        <x:f>B92/B93</x:f>
        <x:v>0.09706397402790079</x:v>
      </x:c>
      <x:c r="C94" s="116" t="n">
        <x:f>C92/C93</x:f>
        <x:v>0.9360727747466332</x:v>
      </x:c>
      <x:c r="D94" s="116" t="n">
        <x:f>D92/D93</x:f>
        <x:v>1.2866707894559435</x:v>
      </x:c>
      <x:c r="E94" s="116" t="n">
        <x:f>E92/E93</x:f>
        <x:v>1.6555151874289225</x:v>
      </x:c>
      <x:c r="F94" s="116" t="n">
        <x:f>F92/F93</x:f>
        <x:v>2.0580794555153883</x:v>
      </x:c>
    </x:row>
    <x:row r="95">
      <x:c r="B95" s="27"/>
      <x:c r="C95" s="27"/>
      <x:c r="D95" s="27"/>
      <x:c r="E95" s="27"/>
      <x:c r="F95" s="27"/>
    </x:row>
    <x:row r="96">
      <x:c r="A96" s="96" t="str">
        <x:v>模型检查</x:v>
      </x:c>
      <x:c r="B96" s="97"/>
      <x:c r="C96" s="97"/>
      <x:c r="D96" s="97"/>
      <x:c r="E96" s="97"/>
      <x:c r="F96" s="97"/>
    </x:row>
    <x:row r="97">
      <x:c r="A97" s="32" t="str">
        <x:v>收入勾稽差</x:v>
      </x:c>
      <x:c r="B97" s="100" t="n">
        <x:f>(SUM(B56,B57,B60,B61,B62)+B66)-B66-B63</x:f>
        <x:v>0</x:v>
      </x:c>
      <x:c r="C97" s="100" t="n">
        <x:f>(SUM(C56,C57,C60,C61,C62)+C66)-C66-C63</x:f>
        <x:v>0</x:v>
      </x:c>
      <x:c r="D97" s="100" t="n">
        <x:f>(SUM(D56,D57,D60,D61,D62)+D66)-D66-D63</x:f>
        <x:v>0</x:v>
      </x:c>
      <x:c r="E97" s="100" t="n">
        <x:f>(SUM(E56,E57,E60,E61,E62)+E66)-E66-E63</x:f>
        <x:v>0</x:v>
      </x:c>
      <x:c r="F97" s="100" t="n">
        <x:f>(SUM(F56,F57,F60,F61,F62)+F66)-F66-F63</x:f>
        <x:v>0</x:v>
      </x:c>
    </x:row>
    <x:row r="98">
      <x:c r="A98" s="32" t="str">
        <x:v>毛利勾稽差</x:v>
      </x:c>
      <x:c r="B98" s="100" t="n">
        <x:f>B73-SUM(B68:B72)</x:f>
        <x:v>0</x:v>
      </x:c>
      <x:c r="C98" s="100" t="n">
        <x:f>C73-SUM(C68:C72)</x:f>
        <x:v>0</x:v>
      </x:c>
      <x:c r="D98" s="100" t="n">
        <x:f>D73-SUM(D68:D72)</x:f>
        <x:v>0</x:v>
      </x:c>
      <x:c r="E98" s="100" t="n">
        <x:f>E73-SUM(E68:E72)</x:f>
        <x:v>0</x:v>
      </x:c>
      <x:c r="F98" s="100" t="n">
        <x:f>F73-SUM(F68:F72)</x:f>
        <x:v>0</x:v>
      </x:c>
    </x:row>
    <x:row r="102" ht="22" customHeight="1">
      <x:c r="A102" s="10" t="str">
        <x:v>乐观情景</x:v>
      </x:c>
      <x:c r="B102" s="10"/>
      <x:c r="C102" s="10"/>
      <x:c r="D102" s="10"/>
      <x:c r="E102" s="10"/>
      <x:c r="F102" s="10"/>
    </x:row>
    <x:row r="103">
      <x:c r="A103" s="26" t="str">
        <x:v>指标</x:v>
      </x:c>
      <x:c r="B103" s="26" t="str">
        <x:v>2026E</x:v>
      </x:c>
      <x:c r="C103" s="26" t="str">
        <x:v>2027E</x:v>
      </x:c>
      <x:c r="D103" s="26" t="str">
        <x:v>2028E</x:v>
      </x:c>
      <x:c r="E103" s="26" t="str">
        <x:v>2029E</x:v>
      </x:c>
      <x:c r="F103" s="26" t="str">
        <x:v>2030E</x:v>
      </x:c>
    </x:row>
    <x:row r="104">
      <x:c r="A104" s="32" t="str">
        <x:v>前端等效加工片数（百万片）</x:v>
      </x:c>
      <x:c r="B104" s="34" t="n">
        <x:f>'核心假设'!P6*'核心假设'!P7*'核心假设'!P8*'核心假设'!P9</x:f>
        <x:v>41.524499999999996</x:v>
      </x:c>
      <x:c r="C104" s="34" t="n">
        <x:f>'核心假设'!Q6*'核心假设'!Q7*'核心假设'!Q8*'核心假设'!Q9</x:f>
        <x:v>97.2</x:v>
      </x:c>
      <x:c r="D104" s="34" t="n">
        <x:f>'核心假设'!R6*'核心假设'!R7*'核心假设'!R8*'核心假设'!R9</x:f>
        <x:v>126.45449999999998</x:v>
      </x:c>
      <x:c r="E104" s="34" t="n">
        <x:f>'核心假设'!S6*'核心假设'!S7*'核心假设'!S8*'核心假设'!S9</x:f>
        <x:v>156.24</x:v>
      </x:c>
      <x:c r="F104" s="34" t="n">
        <x:f>'核心假设'!T6*'核心假设'!T7*'核心假设'!T8*'核心假设'!T9</x:f>
        <x:v>184.275</x:v>
      </x:c>
    </x:row>
    <x:row r="105">
      <x:c r="A105" s="32" t="str">
        <x:v>加工收入</x:v>
      </x:c>
      <x:c r="B105" s="34" t="n">
        <x:f>B104*'核心假设'!P10</x:f>
        <x:v>415.24499999999995</x:v>
      </x:c>
      <x:c r="C105" s="34" t="n">
        <x:f>C104*'核心假设'!Q10</x:f>
        <x:v>1020.6</x:v>
      </x:c>
      <x:c r="D105" s="34" t="n">
        <x:f>D104*'核心假设'!R10</x:f>
        <x:v>1390.9995</x:v>
      </x:c>
      <x:c r="E105" s="34" t="n">
        <x:f>E104*'核心假设'!S10</x:f>
        <x:v>1796.7600000000002</x:v>
      </x:c>
      <x:c r="F105" s="34" t="n">
        <x:f>F104*'核心假设'!T10</x:f>
        <x:v>2211.3</x:v>
      </x:c>
    </x:row>
    <x:row r="106">
      <x:c r="A106" s="32" t="str">
        <x:v>外售切割线收入</x:v>
      </x:c>
      <x:c r="B106" s="34" t="n">
        <x:f>B104*'核心假设'!P11*'核心假设'!P12</x:f>
        <x:v>10.79637</x:v>
      </x:c>
      <x:c r="C106" s="34" t="n">
        <x:f>C104*'核心假设'!Q11*'核心假设'!Q12</x:f>
        <x:v>85.53600000000002</x:v>
      </x:c>
      <x:c r="D106" s="34" t="n">
        <x:f>D104*'核心假设'!R11*'核心假设'!R12</x:f>
        <x:v>77.76951749999999</x:v>
      </x:c>
      <x:c r="E106" s="34" t="n">
        <x:f>E104*'核心假设'!S11*'核心假设'!S12</x:f>
        <x:v>85.30704</x:v>
      </x:c>
      <x:c r="F106" s="34" t="n">
        <x:f>F104*'核心假设'!T11*'核心假设'!T12</x:f>
        <x:v>110.93355000000001</x:v>
      </x:c>
    </x:row>
    <x:row r="107">
      <x:c r="A107" s="32" t="str">
        <x:v>首批设备毛收入</x:v>
      </x:c>
      <x:c r="B107" s="34" t="n">
        <x:f>'核心假设'!P17*'核心假设'!P18*'核心假设'!P19</x:f>
        <x:v>187.5</x:v>
      </x:c>
      <x:c r="C107" s="34" t="n">
        <x:f>'核心假设'!Q17*'核心假设'!Q18*'核心假设'!Q19</x:f>
        <x:v>975</x:v>
      </x:c>
      <x:c r="D107" s="34" t="n">
        <x:f>'核心假设'!R17*'核心假设'!R18*'核心假设'!R19</x:f>
        <x:v>1440</x:v>
      </x:c>
      <x:c r="E107" s="34" t="n">
        <x:f>'核心假设'!S17*'核心假设'!S18*'核心假设'!S19</x:f>
        <x:v>0</x:v>
      </x:c>
      <x:c r="F107" s="34" t="n">
        <x:f>'核心假设'!T17*'核心假设'!T18*'核心假设'!T19</x:f>
        <x:v>0</x:v>
      </x:c>
    </x:row>
    <x:row r="108">
      <x:c r="A108" s="32" t="str">
        <x:v>维护/海外/后续设备毛收入</x:v>
      </x:c>
      <x:c r="B108" s="34" t="n">
        <x:f>'核心假设'!P20</x:f>
        <x:v>150</x:v>
      </x:c>
      <x:c r="C108" s="34" t="n">
        <x:f>'核心假设'!Q20</x:f>
        <x:v>500</x:v>
      </x:c>
      <x:c r="D108" s="34" t="n">
        <x:f>'核心假设'!R20</x:f>
        <x:v>500</x:v>
      </x:c>
      <x:c r="E108" s="34" t="n">
        <x:f>'核心假设'!S20</x:f>
        <x:v>1900</x:v>
      </x:c>
      <x:c r="F108" s="34" t="n">
        <x:f>'核心假设'!T20</x:f>
        <x:v>2200</x:v>
      </x:c>
    </x:row>
    <x:row r="109">
      <x:c r="A109" s="32" t="str">
        <x:v>外售设备收入合计</x:v>
      </x:c>
      <x:c r="B109" s="34" t="n">
        <x:f>SUM(B107:B108)*(1-'核心假设'!P22)</x:f>
        <x:v>337.5</x:v>
      </x:c>
      <x:c r="C109" s="34" t="n">
        <x:f>SUM(C107:C108)*(1-'核心假设'!Q22)</x:f>
        <x:v>1475</x:v>
      </x:c>
      <x:c r="D109" s="34" t="n">
        <x:f>SUM(D107:D108)*(1-'核心假设'!R22)</x:f>
        <x:v>1940</x:v>
      </x:c>
      <x:c r="E109" s="34" t="n">
        <x:f>SUM(E107:E108)*(1-'核心假设'!S22)</x:f>
        <x:v>1900</x:v>
      </x:c>
      <x:c r="F109" s="34" t="n">
        <x:f>SUM(F107:F108)*(1-'核心假设'!T22)</x:f>
        <x:v>2200</x:v>
      </x:c>
    </x:row>
    <x:row r="110">
      <x:c r="A110" s="32" t="str">
        <x:v>外售耗材收入</x:v>
      </x:c>
      <x:c r="B110" s="34" t="n">
        <x:f>'核心假设'!P24*'核心假设'!P25</x:f>
        <x:v>64</x:v>
      </x:c>
      <x:c r="C110" s="34" t="n">
        <x:f>'核心假设'!Q24*'核心假设'!Q25</x:f>
        <x:v>750</x:v>
      </x:c>
      <x:c r="D110" s="34" t="n">
        <x:f>'核心假设'!R24*'核心假设'!R25</x:f>
        <x:v>1225</x:v>
      </x:c>
      <x:c r="E110" s="34" t="n">
        <x:f>'核心假设'!S24*'核心假设'!S25</x:f>
        <x:v>1912.5</x:v>
      </x:c>
      <x:c r="F110" s="34" t="n">
        <x:f>'核心假设'!T24*'核心假设'!T25</x:f>
        <x:v>2860.0000000000005</x:v>
      </x:c>
    </x:row>
    <x:row r="111">
      <x:c r="A111" s="32" t="str">
        <x:v>存量业务收入</x:v>
      </x:c>
      <x:c r="B111" s="34" t="n">
        <x:f>'核心假设'!P29</x:f>
        <x:v>480</x:v>
      </x:c>
      <x:c r="C111" s="34" t="n">
        <x:f>'核心假设'!Q29</x:f>
        <x:v>520</x:v>
      </x:c>
      <x:c r="D111" s="34" t="n">
        <x:f>'核心假设'!R29</x:f>
        <x:v>560</x:v>
      </x:c>
      <x:c r="E111" s="34" t="n">
        <x:f>'核心假设'!S29</x:f>
        <x:v>600</x:v>
      </x:c>
      <x:c r="F111" s="34" t="n">
        <x:f>'核心假设'!T29</x:f>
        <x:v>640</x:v>
      </x:c>
    </x:row>
    <x:row r="112">
      <x:c r="A112" s="105" t="str">
        <x:v>营业收入</x:v>
      </x:c>
      <x:c r="B112" s="106" t="n">
        <x:f>SUM(B105,B106,B109,B110,B111)</x:f>
        <x:v>1307.54137</x:v>
      </x:c>
      <x:c r="C112" s="106" t="n">
        <x:f>SUM(C105,C106,C109,C110,C111)</x:f>
        <x:v>3851.136</x:v>
      </x:c>
      <x:c r="D112" s="106" t="n">
        <x:f>SUM(D105,D106,D109,D110,D111)</x:f>
        <x:v>5193.7690175</x:v>
      </x:c>
      <x:c r="E112" s="106" t="n">
        <x:f>SUM(E105,E106,E109,E110,E111)</x:f>
        <x:v>6294.56704</x:v>
      </x:c>
      <x:c r="F112" s="106" t="n">
        <x:f>SUM(F105,F106,F109,F110,F111)</x:f>
        <x:v>8022.233550000001</x:v>
      </x:c>
    </x:row>
    <x:row r="113">
      <x:c r="A113" s="32" t="str">
        <x:v>消费电子收入</x:v>
      </x:c>
      <x:c r="B113" s="34" t="n">
        <x:f>SUM(B105,B106,B109,B110)</x:f>
        <x:v>827.5413699999999</x:v>
      </x:c>
      <x:c r="C113" s="34" t="n">
        <x:f>SUM(C105,C106,C109,C110)</x:f>
        <x:v>3331.136</x:v>
      </x:c>
      <x:c r="D113" s="34" t="n">
        <x:f>SUM(D105,D106,D109,D110)</x:f>
        <x:v>4633.7690175</x:v>
      </x:c>
      <x:c r="E113" s="34" t="n">
        <x:f>SUM(E105,E106,E109,E110)</x:f>
        <x:v>5694.56704</x:v>
      </x:c>
      <x:c r="F113" s="34" t="n">
        <x:f>SUM(F105,F106,F109,F110)</x:f>
        <x:v>7382.233550000001</x:v>
      </x:c>
    </x:row>
    <x:row r="114">
      <x:c r="A114" s="32" t="str">
        <x:v>消费电子收入占比</x:v>
      </x:c>
      <x:c r="B114" s="36" t="n">
        <x:f>B113/B112</x:f>
        <x:v>0.6328988045709024</x:v>
      </x:c>
      <x:c r="C114" s="36" t="n">
        <x:f>C113/C112</x:f>
        <x:v>0.864974906105627</x:v>
      </x:c>
      <x:c r="D114" s="36" t="n">
        <x:f>D113/D112</x:f>
        <x:v>0.8921784934768713</x:v>
      </x:c>
      <x:c r="E114" s="36" t="n">
        <x:f>E113/E112</x:f>
        <x:v>0.9046797029585691</x:v>
      </x:c>
      <x:c r="F114" s="36" t="n">
        <x:f>F113/F112</x:f>
        <x:v>0.9202217192991097</x:v>
      </x:c>
    </x:row>
    <x:row r="115">
      <x:c r="A115" s="32" t="str">
        <x:v>内部收入抵销（线材＋设备）</x:v>
      </x:c>
      <x:c r="B115" s="34" t="n">
        <x:f>B104*(1-'核心假设'!P11)*'核心假设'!P12+SUM(B107:B108)*'核心假设'!P22</x:f>
        <x:v>5.813429999999999</x:v>
      </x:c>
      <x:c r="C115" s="34" t="n">
        <x:f>C104*(1-'核心假设'!Q11)*'核心假设'!Q12+SUM(C107:C108)*'核心假设'!Q22</x:f>
        <x:v>21.384</x:v>
      </x:c>
      <x:c r="D115" s="34" t="n">
        <x:f>D104*(1-'核心假设'!R11)*'核心假设'!R12+SUM(D107:D108)*'核心假设'!R22</x:f>
        <x:v>17.071357500000005</x:v>
      </x:c>
      <x:c r="E115" s="34" t="n">
        <x:f>E104*(1-'核心假设'!S11)*'核心假设'!S12+SUM(E107:E108)*'核心假设'!S22</x:f>
        <x:v>16.248960000000004</x:v>
      </x:c>
      <x:c r="F115" s="34" t="n">
        <x:f>F104*(1-'核心假设'!T11)*'核心假设'!T12+SUM(F107:F108)*'核心假设'!T22</x:f>
        <x:v>18.058950000000003</x:v>
      </x:c>
    </x:row>
    <x:row r="116">
      <x:c r="A116" s="96" t="str">
        <x:v>毛利桥</x:v>
      </x:c>
      <x:c r="B116" s="97"/>
      <x:c r="C116" s="97"/>
      <x:c r="D116" s="97"/>
      <x:c r="E116" s="97"/>
      <x:c r="F116" s="97"/>
    </x:row>
    <x:row r="117">
      <x:c r="A117" s="32" t="str">
        <x:v>存量业务毛利</x:v>
      </x:c>
      <x:c r="B117" s="34" t="n">
        <x:f>B111*'核心假设'!P30</x:f>
        <x:v>105.6</x:v>
      </x:c>
      <x:c r="C117" s="34" t="n">
        <x:f>C111*'核心假设'!Q30</x:f>
        <x:v>124.8</x:v>
      </x:c>
      <x:c r="D117" s="34" t="n">
        <x:f>D111*'核心假设'!R30</x:f>
        <x:v>151.20000000000002</x:v>
      </x:c>
      <x:c r="E117" s="34" t="n">
        <x:f>E111*'核心假设'!S30</x:f>
        <x:v>168.00000000000003</x:v>
      </x:c>
      <x:c r="F117" s="34" t="n">
        <x:f>F111*'核心假设'!T30</x:f>
        <x:v>185.6</x:v>
      </x:c>
    </x:row>
    <x:row r="118">
      <x:c r="A118" s="32" t="str">
        <x:v>加工毛利</x:v>
      </x:c>
      <x:c r="B118" s="34" t="n">
        <x:f>B105*'核心假设'!P13</x:f>
        <x:v>166.09799999999998</x:v>
      </x:c>
      <x:c r="C118" s="34" t="n">
        <x:f>C105*'核心假设'!Q13</x:f>
        <x:v>418.44599999999997</x:v>
      </x:c>
      <x:c r="D118" s="34" t="n">
        <x:f>D105*'核心假设'!R13</x:f>
        <x:v>584.21979</x:v>
      </x:c>
      <x:c r="E118" s="34" t="n">
        <x:f>E105*'核心假设'!S13</x:f>
        <x:v>772.6068000000001</x:v>
      </x:c>
      <x:c r="F118" s="34" t="n">
        <x:f>F105*'核心假设'!T13</x:f>
        <x:v>972.9720000000001</x:v>
      </x:c>
    </x:row>
    <x:row r="119">
      <x:c r="A119" s="32" t="str">
        <x:v>外售切割线毛利</x:v>
      </x:c>
      <x:c r="B119" s="34" t="n">
        <x:f>B106*'核心假设'!P14</x:f>
        <x:v>2.5911288</x:v>
      </x:c>
      <x:c r="C119" s="34" t="n">
        <x:f>C106*'核心假设'!Q14</x:f>
        <x:v>22.239360000000005</x:v>
      </x:c>
      <x:c r="D119" s="34" t="n">
        <x:f>D106*'核心假设'!R14</x:f>
        <x:v>21.7754649</x:v>
      </x:c>
      <x:c r="E119" s="34" t="n">
        <x:f>E106*'核心假设'!S14</x:f>
        <x:v>25.592112</x:v>
      </x:c>
      <x:c r="F119" s="34" t="n">
        <x:f>F106*'核心假设'!T14</x:f>
        <x:v>35.498736</x:v>
      </x:c>
    </x:row>
    <x:row r="120">
      <x:c r="A120" s="32" t="str">
        <x:v>设备毛利</x:v>
      </x:c>
      <x:c r="B120" s="34" t="n">
        <x:f>B109*'核心假设'!P21</x:f>
        <x:v>101.25</x:v>
      </x:c>
      <x:c r="C120" s="34" t="n">
        <x:f>C109*'核心假设'!Q21</x:f>
        <x:v>442.5</x:v>
      </x:c>
      <x:c r="D120" s="34" t="n">
        <x:f>D109*'核心假设'!R21</x:f>
        <x:v>582</x:v>
      </x:c>
      <x:c r="E120" s="34" t="n">
        <x:f>E109*'核心假设'!S21</x:f>
        <x:v>570</x:v>
      </x:c>
      <x:c r="F120" s="34" t="n">
        <x:f>F109*'核心假设'!T21</x:f>
        <x:v>660</x:v>
      </x:c>
    </x:row>
    <x:row r="121">
      <x:c r="A121" s="32" t="str">
        <x:v>耗材毛利</x:v>
      </x:c>
      <x:c r="B121" s="34" t="n">
        <x:f>B110*'核心假设'!P26</x:f>
        <x:v>19.2</x:v>
      </x:c>
      <x:c r="C121" s="34" t="n">
        <x:f>C110*'核心假设'!Q26</x:f>
        <x:v>225</x:v>
      </x:c>
      <x:c r="D121" s="34" t="n">
        <x:f>D110*'核心假设'!R26</x:f>
        <x:v>367.5</x:v>
      </x:c>
      <x:c r="E121" s="34" t="n">
        <x:f>E110*'核心假设'!S26</x:f>
        <x:v>573.75</x:v>
      </x:c>
      <x:c r="F121" s="34" t="n">
        <x:f>F110*'核心假设'!T26</x:f>
        <x:v>858.0000000000001</x:v>
      </x:c>
    </x:row>
    <x:row r="122">
      <x:c r="A122" s="101" t="str">
        <x:v>毛利合计</x:v>
      </x:c>
      <x:c r="B122" s="102" t="n">
        <x:f>SUM(B117:B121)</x:f>
        <x:v>394.73912879999995</x:v>
      </x:c>
      <x:c r="C122" s="102" t="n">
        <x:f>SUM(C117:C121)</x:f>
        <x:v>1232.9853600000001</x:v>
      </x:c>
      <x:c r="D122" s="102" t="n">
        <x:f>SUM(D117:D121)</x:f>
        <x:v>1706.6952549</x:v>
      </x:c>
      <x:c r="E122" s="102" t="n">
        <x:f>SUM(E117:E121)</x:f>
        <x:v>2109.9489120000003</x:v>
      </x:c>
      <x:c r="F122" s="102" t="n">
        <x:f>SUM(F117:F121)</x:f>
        <x:v>2712.070736</x:v>
      </x:c>
    </x:row>
    <x:row r="123">
      <x:c r="A123" s="101" t="str">
        <x:v>综合毛利率</x:v>
      </x:c>
      <x:c r="B123" s="107" t="n">
        <x:f>B122/B112</x:f>
        <x:v>0.3018941793023344</x:v>
      </x:c>
      <x:c r="C123" s="107" t="n">
        <x:f>C122/C112</x:f>
        <x:v>0.32016146923920635</x:v>
      </x:c>
      <x:c r="D123" s="107" t="n">
        <x:f>D122/D112</x:f>
        <x:v>0.3286043813557021</x:v>
      </x:c>
      <x:c r="E123" s="107" t="n">
        <x:f>E122/E112</x:f>
        <x:v>0.33520159505680636</x:v>
      </x:c>
      <x:c r="F123" s="107" t="n">
        <x:f>F122/F112</x:f>
        <x:v>0.33806928196449726</x:v>
      </x:c>
    </x:row>
    <x:row r="124">
      <x:c r="B124" s="27"/>
      <x:c r="C124" s="27"/>
      <x:c r="D124" s="27"/>
      <x:c r="E124" s="27"/>
      <x:c r="F124" s="27"/>
    </x:row>
    <x:row r="125">
      <x:c r="A125" s="96" t="str">
        <x:v>利润桥</x:v>
      </x:c>
      <x:c r="B125" s="97"/>
      <x:c r="C125" s="97"/>
      <x:c r="D125" s="97"/>
      <x:c r="E125" s="97"/>
      <x:c r="F125" s="97"/>
    </x:row>
    <x:row r="126">
      <x:c r="A126" s="32" t="str">
        <x:v>销售费用</x:v>
      </x:c>
      <x:c r="B126" s="34" t="n">
        <x:f>B112*'核心假设'!P31</x:f>
        <x:v>32.68853425</x:v>
      </x:c>
      <x:c r="C126" s="34" t="n">
        <x:f>C112*'核心假设'!Q31</x:f>
        <x:v>42.362496</x:v>
      </x:c>
      <x:c r="D126" s="34" t="n">
        <x:f>D112*'核心假设'!R31</x:f>
        <x:v>46.7439211575</x:v>
      </x:c>
      <x:c r="E126" s="34" t="n">
        <x:f>E112*'核心假设'!S31</x:f>
        <x:v>50.356536320000004</x:v>
      </x:c>
      <x:c r="F126" s="34" t="n">
        <x:f>F112*'核心假设'!T31</x:f>
        <x:v>56.155634850000006</x:v>
      </x:c>
    </x:row>
    <x:row r="127">
      <x:c r="A127" s="32" t="str">
        <x:v>管理费用</x:v>
      </x:c>
      <x:c r="B127" s="34" t="n">
        <x:f>B112*'核心假设'!P32</x:f>
        <x:v>65.3770685</x:v>
      </x:c>
      <x:c r="C127" s="34" t="n">
        <x:f>C112*'核心假设'!Q32</x:f>
        <x:v>80.873856</x:v>
      </x:c>
      <x:c r="D127" s="34" t="n">
        <x:f>D112*'核心假设'!R32</x:f>
        <x:v>98.6816113325</x:v>
      </x:c>
      <x:c r="E127" s="34" t="n">
        <x:f>E112*'核心假设'!S32</x:f>
        <x:v>113.30220671999999</x:v>
      </x:c>
      <x:c r="F127" s="34" t="n">
        <x:f>F112*'核心假设'!T32</x:f>
        <x:v>136.37797035000003</x:v>
      </x:c>
    </x:row>
    <x:row r="128">
      <x:c r="A128" s="32" t="str">
        <x:v>研发费用</x:v>
      </x:c>
      <x:c r="B128" s="34" t="n">
        <x:f>B112*'核心假设'!P33</x:f>
        <x:v>58.839361649999994</x:v>
      </x:c>
      <x:c r="C128" s="34" t="n">
        <x:f>C112*'核心假设'!Q33</x:f>
        <x:v>73.171584</x:v>
      </x:c>
      <x:c r="D128" s="34" t="n">
        <x:f>D112*'核心假设'!R33</x:f>
        <x:v>88.2940732975</x:v>
      </x:c>
      <x:c r="E128" s="34" t="n">
        <x:f>E112*'核心假设'!S33</x:f>
        <x:v>94.41850559999999</x:v>
      </x:c>
      <x:c r="F128" s="34" t="n">
        <x:f>F112*'核心假设'!T33</x:f>
        <x:v>112.31126970000001</x:v>
      </x:c>
    </x:row>
    <x:row r="129">
      <x:c r="A129" s="32" t="str">
        <x:v>财务费用</x:v>
      </x:c>
      <x:c r="B129" s="34" t="n">
        <x:f>B112*'核心假设'!P34</x:f>
        <x:v>13.075413699999999</x:v>
      </x:c>
      <x:c r="C129" s="34" t="n">
        <x:f>C112*'核心假设'!Q34</x:f>
        <x:v>19.25568</x:v>
      </x:c>
      <x:c r="D129" s="34" t="n">
        <x:f>D112*'核心假设'!R34</x:f>
        <x:v>20.77507607</x:v>
      </x:c>
      <x:c r="E129" s="34" t="n">
        <x:f>E112*'核心假设'!S34</x:f>
        <x:v>18.88370112</x:v>
      </x:c>
      <x:c r="F129" s="34" t="n">
        <x:f>F112*'核心假设'!T34</x:f>
        <x:v>24.06670065</x:v>
      </x:c>
    </x:row>
    <x:row r="130">
      <x:c r="A130" s="32" t="str">
        <x:v>减值损失</x:v>
      </x:c>
      <x:c r="B130" s="34" t="n">
        <x:f>'核心假设'!P35</x:f>
        <x:v>2</x:v>
      </x:c>
      <x:c r="C130" s="34" t="n">
        <x:f>'核心假设'!Q35</x:f>
        <x:v>2</x:v>
      </x:c>
      <x:c r="D130" s="34" t="n">
        <x:f>'核心假设'!R35</x:f>
        <x:v>2</x:v>
      </x:c>
      <x:c r="E130" s="34" t="n">
        <x:f>'核心假设'!S35</x:f>
        <x:v>2</x:v>
      </x:c>
      <x:c r="F130" s="34" t="n">
        <x:f>'核心假设'!T35</x:f>
        <x:v>2</x:v>
      </x:c>
    </x:row>
    <x:row r="131">
      <x:c r="A131" s="32" t="str">
        <x:v>其他收益净额</x:v>
      </x:c>
      <x:c r="B131" s="34" t="n">
        <x:f>'核心假设'!P36</x:f>
        <x:v>5</x:v>
      </x:c>
      <x:c r="C131" s="34" t="n">
        <x:f>'核心假设'!Q36</x:f>
        <x:v>5</x:v>
      </x:c>
      <x:c r="D131" s="34" t="n">
        <x:f>'核心假设'!R36</x:f>
        <x:v>5</x:v>
      </x:c>
      <x:c r="E131" s="34" t="n">
        <x:f>'核心假设'!S36</x:f>
        <x:v>5</x:v>
      </x:c>
      <x:c r="F131" s="34" t="n">
        <x:f>'核心假设'!T36</x:f>
        <x:v>5</x:v>
      </x:c>
    </x:row>
    <x:row r="132">
      <x:c r="A132" s="32" t="str">
        <x:v>税前利润</x:v>
      </x:c>
      <x:c r="B132" s="34" t="n">
        <x:f>B122-SUM(B126:B130)+B131</x:f>
        <x:v>227.75875069999995</x:v>
      </x:c>
      <x:c r="C132" s="34" t="n">
        <x:f>C122-SUM(C126:C130)+C131</x:f>
        <x:v>1020.3217440000001</x:v>
      </x:c>
      <x:c r="D132" s="34" t="n">
        <x:f>D122-SUM(D126:D130)+D131</x:f>
        <x:v>1455.2005730424999</x:v>
      </x:c>
      <x:c r="E132" s="34" t="n">
        <x:f>E122-SUM(E126:E130)+E131</x:f>
        <x:v>1835.9879622400003</x:v>
      </x:c>
      <x:c r="F132" s="34" t="n">
        <x:f>F122-SUM(F126:F130)+F131</x:f>
        <x:v>2386.15916045</x:v>
      </x:c>
    </x:row>
    <x:row r="133">
      <x:c r="A133" s="32" t="str">
        <x:v>所得税</x:v>
      </x:c>
      <x:c r="B133" s="34" t="n">
        <x:f>MAX(0,B132*'核心假设'!P37)</x:f>
        <x:v>43.27416263299999</x:v>
      </x:c>
      <x:c r="C133" s="34" t="n">
        <x:f>MAX(0,C132*'核心假设'!Q37)</x:f>
        <x:v>204.06434880000003</x:v>
      </x:c>
      <x:c r="D133" s="34" t="n">
        <x:f>MAX(0,D132*'核心假设'!R37)</x:f>
        <x:v>291.0401146085</x:v>
      </x:c>
      <x:c r="E133" s="34" t="n">
        <x:f>MAX(0,E132*'核心假设'!S37)</x:f>
        <x:v>367.1975924480001</x:v>
      </x:c>
      <x:c r="F133" s="34" t="n">
        <x:f>MAX(0,F132*'核心假设'!T37)</x:f>
        <x:v>477.23183209</x:v>
      </x:c>
    </x:row>
    <x:row r="134">
      <x:c r="A134" s="32" t="str">
        <x:v>合并净利润</x:v>
      </x:c>
      <x:c r="B134" s="34" t="n">
        <x:f>B132-B133</x:f>
        <x:v>184.48458806699995</x:v>
      </x:c>
      <x:c r="C134" s="34" t="n">
        <x:f>C132-C133</x:f>
        <x:v>816.2573952</x:v>
      </x:c>
      <x:c r="D134" s="34" t="n">
        <x:f>D132-D133</x:f>
        <x:v>1164.1604584339998</x:v>
      </x:c>
      <x:c r="E134" s="34" t="n">
        <x:f>E132-E133</x:f>
        <x:v>1468.7903697920003</x:v>
      </x:c>
      <x:c r="F134" s="34" t="n">
        <x:f>F132-F133</x:f>
        <x:v>1908.92732836</x:v>
      </x:c>
    </x:row>
    <x:row r="135">
      <x:c r="B135" s="29"/>
      <x:c r="C135" s="29"/>
      <x:c r="D135" s="29"/>
      <x:c r="E135" s="29"/>
      <x:c r="F135" s="29"/>
    </x:row>
    <x:row r="136">
      <x:c r="A136" s="96" t="str">
        <x:v>少数股东与归母</x:v>
      </x:c>
      <x:c r="B136" s="98"/>
      <x:c r="C136" s="98"/>
      <x:c r="D136" s="98"/>
      <x:c r="E136" s="98"/>
      <x:c r="F136" s="98"/>
    </x:row>
    <x:row r="137">
      <x:c r="A137" s="32" t="str">
        <x:v>加工少数股东损益</x:v>
      </x:c>
      <x:c r="B137" s="34" t="n">
        <x:f>((B118-B105*('核心假设'!P31+'核心假设'!P32+'核心假设'!P33+'核心假设'!P34))-MAX(0,(B118-B105*('核心假设'!P31+'核心假设'!P32+'核心假设'!P33+'核心假设'!P34))*'核心假设'!P37))*'核心假设'!P39</x:f>
        <x:v>9.08140815</x:v>
      </x:c>
      <x:c r="C137" s="34" t="n">
        <x:f>((C118-C105*('核心假设'!Q31+'核心假设'!Q32+'核心假设'!Q33+'核心假设'!Q34))-MAX(0,(C118-C105*('核心假设'!Q31+'核心假设'!Q32+'核心假设'!Q33+'核心假设'!Q34))*'核心假设'!Q37))*'核心假设'!Q39</x:f>
        <x:v>28.903391999999997</x:v>
      </x:c>
      <x:c r="D137" s="34" t="n">
        <x:f>((D118-D105*('核心假设'!R31+'核心假设'!R32+'核心假设'!R33+'核心假设'!R34))-MAX(0,(D118-D105*('核心假设'!R31+'核心假设'!R32+'核心假设'!R33+'核心假设'!R34))*'核心假设'!R37))*'核心假设'!R39</x:f>
        <x:v>41.28486516</x:v>
      </x:c>
      <x:c r="E137" s="34" t="n">
        <x:f>((E118-E105*('核心假设'!S31+'核心假设'!S32+'核心假设'!S33+'核心假设'!S34))-MAX(0,(E118-E105*('核心假设'!S31+'核心假设'!S32+'核心假设'!S33+'核心假设'!S34))*'核心假设'!S37))*'核心假设'!S39</x:f>
        <x:v>55.48394880000001</x:v>
      </x:c>
      <x:c r="F137" s="34" t="n">
        <x:f>((F118-F105*('核心假设'!T31+'核心假设'!T32+'核心假设'!T33+'核心假设'!T34))-MAX(0,(F118-F105*('核心假设'!T31+'核心假设'!T32+'核心假设'!T33+'核心假设'!T34))*'核心假设'!T37))*'核心假设'!T39</x:f>
        <x:v>70.58469600000001</x:v>
      </x:c>
    </x:row>
    <x:row r="138">
      <x:c r="A138" s="32" t="str">
        <x:v>设备少数股东损益</x:v>
      </x:c>
      <x:c r="B138" s="34" t="n">
        <x:f>((B120-B109*('核心假设'!P31+'核心假设'!P32+'核心假设'!P33+'核心假设'!P34))-MAX(0,(B120-B109*('核心假设'!P31+'核心假设'!P32+'核心假设'!P33+'核心假设'!P34))*'核心假设'!P37))*'核心假设'!P40</x:f>
        <x:v>22.772137499999996</x:v>
      </x:c>
      <x:c r="C138" s="34" t="n">
        <x:f>((C120-C109*('核心假设'!Q31+'核心假设'!Q32+'核心假设'!Q33+'核心假设'!Q34))-MAX(0,(C120-C109*('核心假设'!Q31+'核心假设'!Q32+'核心假设'!Q33+'核心假设'!Q34))*'核心假设'!Q37))*'核心假设'!Q40</x:f>
        <x:v>141.08079999999998</x:v>
      </x:c>
      <x:c r="D138" s="34" t="n">
        <x:f>((D120-D109*('核心假设'!R31+'核心假设'!R32+'核心假设'!R33+'核心假设'!R34))-MAX(0,(D120-D109*('核心假设'!R31+'核心假设'!R32+'核心假设'!R33+'核心假设'!R34))*'核心假设'!R37))*'核心假设'!R40</x:f>
        <x:v>190.88048</x:v>
      </x:c>
      <x:c r="E138" s="34" t="n">
        <x:f>((E120-E109*('核心假设'!S31+'核心假设'!S32+'核心假设'!S33+'核心假设'!S34))-MAX(0,(E120-E109*('核心假设'!S31+'核心假设'!S32+'核心假设'!S33+'核心假设'!S34))*'核心假设'!S37))*'核心假设'!S40</x:f>
        <x:v>190.6688</x:v>
      </x:c>
      <x:c r="F138" s="34" t="n">
        <x:f>((F120-F109*('核心假设'!T31+'核心假设'!T32+'核心假设'!T33+'核心假设'!T34))-MAX(0,(F120-F109*('核心假设'!T31+'核心假设'!T32+'核心假设'!T33+'核心假设'!T34))*'核心假设'!T37))*'核心假设'!T40</x:f>
        <x:v>223.36159999999998</x:v>
      </x:c>
    </x:row>
    <x:row r="139">
      <x:c r="A139" s="32" t="str">
        <x:v>耗材少数股东损益</x:v>
      </x:c>
      <x:c r="B139" s="34" t="n">
        <x:f>((B121-B110*('核心假设'!P31+'核心假设'!P32+'核心假设'!P33+'核心假设'!P34))-MAX(0,(B121-B110*('核心假设'!P31+'核心假设'!P32+'核心假设'!P33+'核心假设'!P34))*'核心假设'!P37))*'核心假设'!P41</x:f>
        <x:v>2.6438399999999995</x:v>
      </x:c>
      <x:c r="C139" s="34" t="n">
        <x:f>((C121-C110*('核心假设'!Q31+'核心假设'!Q32+'核心假设'!Q33+'核心假设'!Q34))-MAX(0,(C121-C110*('核心假设'!Q31+'核心假设'!Q32+'核心假设'!Q33+'核心假设'!Q34))*'核心假设'!Q37))*'核心假设'!Q41</x:f>
        <x:v>43.92</x:v>
      </x:c>
      <x:c r="D139" s="34" t="n">
        <x:f>((D121-D110*('核心假设'!R31+'核心假设'!R32+'核心假设'!R33+'核心假设'!R34))-MAX(0,(D121-D110*('核心假设'!R31+'核心假设'!R32+'核心假设'!R33+'核心假设'!R34))*'核心假设'!R37))*'核心假设'!R41</x:f>
        <x:v>73.794</x:v>
      </x:c>
      <x:c r="E139" s="34" t="n">
        <x:f>((E121-E110*('核心假设'!S31+'核心假设'!S32+'核心假设'!S33+'核心假设'!S34))-MAX(0,(E121-E110*('核心假设'!S31+'核心假设'!S32+'核心假设'!S33+'核心假设'!S34))*'核心假设'!S37))*'核心假设'!S41</x:f>
        <x:v>117.50399999999999</x:v>
      </x:c>
      <x:c r="F139" s="34" t="n">
        <x:f>((F121-F110*('核心假设'!T31+'核心假设'!T32+'核心假设'!T33+'核心假设'!T34))-MAX(0,(F121-F110*('核心假设'!T31+'核心假设'!T32+'核心假设'!T33+'核心假设'!T34))*'核心假设'!T37))*'核心假设'!T41</x:f>
        <x:v>177.77760000000004</x:v>
      </x:c>
    </x:row>
    <x:row r="140">
      <x:c r="A140" s="32" t="str">
        <x:v>少数股东损益合计</x:v>
      </x:c>
      <x:c r="B140" s="34" t="n">
        <x:f>SUM(B137:B139)</x:f>
        <x:v>34.49738564999999</x:v>
      </x:c>
      <x:c r="C140" s="34" t="n">
        <x:f>SUM(C137:C139)</x:f>
        <x:v>213.90419199999997</x:v>
      </x:c>
      <x:c r="D140" s="34" t="n">
        <x:f>SUM(D137:D139)</x:f>
        <x:v>305.95934516</x:v>
      </x:c>
      <x:c r="E140" s="34" t="n">
        <x:f>SUM(E137:E139)</x:f>
        <x:v>363.6567488</x:v>
      </x:c>
      <x:c r="F140" s="34" t="n">
        <x:f>SUM(F137:F139)</x:f>
        <x:v>471.72389599999997</x:v>
      </x:c>
    </x:row>
    <x:row r="141">
      <x:c r="A141" s="114" t="str">
        <x:v>归母净利润</x:v>
      </x:c>
      <x:c r="B141" s="115" t="n">
        <x:f>B134-B140</x:f>
        <x:v>149.98720241699996</x:v>
      </x:c>
      <x:c r="C141" s="115" t="n">
        <x:f>C134-C140</x:f>
        <x:v>602.3532032</x:v>
      </x:c>
      <x:c r="D141" s="115" t="n">
        <x:f>D134-D140</x:f>
        <x:v>858.2011132739998</x:v>
      </x:c>
      <x:c r="E141" s="115" t="n">
        <x:f>E134-E140</x:f>
        <x:v>1105.1336209920003</x:v>
      </x:c>
      <x:c r="F141" s="115" t="n">
        <x:f>F134-F140</x:f>
        <x:v>1437.20343236</x:v>
      </x:c>
    </x:row>
    <x:row r="142">
      <x:c r="A142" s="114" t="str">
        <x:v>总股本（百万股）</x:v>
      </x:c>
      <x:c r="B142" s="115" t="n">
        <x:f>'核心假设'!P38</x:f>
        <x:v>397.028823</x:v>
      </x:c>
      <x:c r="C142" s="115" t="n">
        <x:f>'核心假设'!Q38</x:f>
        <x:v>397.028823</x:v>
      </x:c>
      <x:c r="D142" s="115" t="n">
        <x:f>'核心假设'!R38</x:f>
        <x:v>397.028823</x:v>
      </x:c>
      <x:c r="E142" s="115" t="n">
        <x:f>'核心假设'!S38</x:f>
        <x:v>397.028823</x:v>
      </x:c>
      <x:c r="F142" s="115" t="n">
        <x:f>'核心假设'!T38</x:f>
        <x:v>397.028823</x:v>
      </x:c>
    </x:row>
    <x:row r="143">
      <x:c r="A143" s="114" t="str">
        <x:v>EPS（元/股）</x:v>
      </x:c>
      <x:c r="B143" s="116" t="n">
        <x:f>B141/B142</x:f>
        <x:v>0.377774090262963</x:v>
      </x:c>
      <x:c r="C143" s="116" t="n">
        <x:f>C141/C142</x:f>
        <x:v>1.5171523282580421</x:v>
      </x:c>
      <x:c r="D143" s="116" t="n">
        <x:f>D141/D142</x:f>
        <x:v>2.161558717045588</x:v>
      </x:c>
      <x:c r="E143" s="116" t="n">
        <x:f>E141/E142</x:f>
        <x:v>2.7835098032467034</x:v>
      </x:c>
      <x:c r="F143" s="116" t="n">
        <x:f>F141/F142</x:f>
        <x:v>3.6198969674299946</x:v>
      </x:c>
    </x:row>
    <x:row r="144">
      <x:c r="B144" s="27"/>
      <x:c r="C144" s="27"/>
      <x:c r="D144" s="27"/>
      <x:c r="E144" s="27"/>
      <x:c r="F144" s="27"/>
    </x:row>
    <x:row r="145">
      <x:c r="A145" s="96" t="str">
        <x:v>模型检查</x:v>
      </x:c>
      <x:c r="B145" s="97"/>
      <x:c r="C145" s="97"/>
      <x:c r="D145" s="97"/>
      <x:c r="E145" s="97"/>
      <x:c r="F145" s="97"/>
    </x:row>
    <x:row r="146">
      <x:c r="A146" s="32" t="str">
        <x:v>收入勾稽差</x:v>
      </x:c>
      <x:c r="B146" s="100" t="n">
        <x:f>(SUM(B105,B106,B109,B110,B111)+B115)-B115-B112</x:f>
        <x:v>0</x:v>
      </x:c>
      <x:c r="C146" s="100" t="n">
        <x:f>(SUM(C105,C106,C109,C110,C111)+C115)-C115-C112</x:f>
        <x:v>0</x:v>
      </x:c>
      <x:c r="D146" s="100" t="n">
        <x:f>(SUM(D105,D106,D109,D110,D111)+D115)-D115-D112</x:f>
        <x:v>0</x:v>
      </x:c>
      <x:c r="E146" s="100" t="n">
        <x:f>(SUM(E105,E106,E109,E110,E111)+E115)-E115-E112</x:f>
        <x:v>0</x:v>
      </x:c>
      <x:c r="F146" s="100" t="n">
        <x:f>(SUM(F105,F106,F109,F110,F111)+F115)-F115-F112</x:f>
        <x:v>0</x:v>
      </x:c>
    </x:row>
    <x:row r="147">
      <x:c r="A147" s="32" t="str">
        <x:v>毛利勾稽差</x:v>
      </x:c>
      <x:c r="B147" s="100" t="n">
        <x:f>B122-SUM(B117:B121)</x:f>
        <x:v>0</x:v>
      </x:c>
      <x:c r="C147" s="100" t="n">
        <x:f>C122-SUM(C117:C121)</x:f>
        <x:v>0</x:v>
      </x:c>
      <x:c r="D147" s="100" t="n">
        <x:f>D122-SUM(D117:D121)</x:f>
        <x:v>0</x:v>
      </x:c>
      <x:c r="E147" s="100" t="n">
        <x:f>E122-SUM(E117:E121)</x:f>
        <x:v>0</x:v>
      </x:c>
      <x:c r="F147" s="100" t="n">
        <x:f>F122-SUM(F117:F121)</x:f>
        <x:v>0</x:v>
      </x:c>
    </x:row>
  </x:sheetData>
  <x:mergeCells>
    <x:mergeCell ref="A1:H1"/>
    <x:mergeCell ref="A2:H2"/>
    <x:mergeCell ref="A4:F4"/>
    <x:mergeCell ref="A18:F18"/>
    <x:mergeCell ref="A27:F27"/>
    <x:mergeCell ref="A38:F38"/>
    <x:mergeCell ref="A47:F47"/>
    <x:mergeCell ref="A53:F53"/>
    <x:mergeCell ref="A67:F67"/>
    <x:mergeCell ref="A76:F76"/>
    <x:mergeCell ref="A87:F87"/>
    <x:mergeCell ref="A96:F96"/>
    <x:mergeCell ref="A102:F102"/>
    <x:mergeCell ref="A116:F116"/>
    <x:mergeCell ref="A125:F125"/>
    <x:mergeCell ref="A136:F136"/>
    <x:mergeCell ref="A145:F145"/>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27" hidden="0" customWidth="1"/>
    <x:col min="2" max="2" width="19" hidden="0" customWidth="1"/>
    <x:col min="3" max="3" width="19" hidden="0" customWidth="1"/>
    <x:col min="4" max="4" width="19" hidden="0" customWidth="1"/>
    <x:col min="5" max="5" width="19" hidden="0" customWidth="1"/>
    <x:col min="6" max="6" width="19"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s>
  <x:sheetData>
    <x:row r="1" ht="30" customHeight="1">
      <x:c r="A1" s="3" t="str">
        <x:v>消费电子量价驱动与专项敏感性</x:v>
      </x:c>
      <x:c r="B1" s="3"/>
      <x:c r="C1" s="3"/>
      <x:c r="D1" s="3"/>
      <x:c r="E1" s="3"/>
      <x:c r="F1" s="3"/>
      <x:c r="G1" s="3"/>
      <x:c r="H1" s="3"/>
      <x:c r="I1" s="3"/>
      <x:c r="J1" s="3"/>
      <x:c r="K1" s="3"/>
      <x:c r="L1" s="3"/>
      <x:c r="M1" s="3"/>
      <x:c r="N1" s="3"/>
    </x:row>
    <x:row r="2" ht="28" customHeight="1">
      <x:c r="A2" s="7" t="str">
        <x:v>从终端量到加工收入，并对设备10/20/30亿元、单位线耗及内部抵销进行独立校验。</x:v>
      </x:c>
      <x:c r="B2" s="7"/>
      <x:c r="C2" s="7"/>
      <x:c r="D2" s="7"/>
      <x:c r="E2" s="7"/>
      <x:c r="F2" s="7"/>
      <x:c r="G2" s="7"/>
      <x:c r="H2" s="7"/>
      <x:c r="I2" s="7"/>
      <x:c r="J2" s="7"/>
      <x:c r="K2" s="7"/>
      <x:c r="L2" s="7"/>
      <x:c r="M2" s="7"/>
      <x:c r="N2" s="7"/>
    </x:row>
    <x:row r="4" ht="22" customHeight="1">
      <x:c r="A4" s="10" t="str">
        <x:v>基准情景加工量价桥</x:v>
      </x:c>
      <x:c r="B4" s="10"/>
      <x:c r="C4" s="10"/>
      <x:c r="D4" s="10"/>
      <x:c r="E4" s="10"/>
      <x:c r="F4" s="10"/>
    </x:row>
    <x:row r="5">
      <x:c r="A5" s="26" t="str">
        <x:v>指标</x:v>
      </x:c>
      <x:c r="B5" s="26" t="str">
        <x:v>2026E</x:v>
      </x:c>
      <x:c r="C5" s="26" t="str">
        <x:v>2027E</x:v>
      </x:c>
      <x:c r="D5" s="26" t="str">
        <x:v>2028E</x:v>
      </x:c>
      <x:c r="E5" s="26" t="str">
        <x:v>2029E</x:v>
      </x:c>
      <x:c r="F5" s="26" t="str">
        <x:v>2030E</x:v>
      </x:c>
    </x:row>
    <x:row r="6">
      <x:c r="A6" s="32" t="str">
        <x:v>可覆盖终端池（百万部）</x:v>
      </x:c>
      <x:c r="B6" s="121" t="n">
        <x:f>'核心假设'!I6</x:f>
        <x:v>228</x:v>
      </x:c>
      <x:c r="C6" s="121" t="n">
        <x:f>'核心假设'!J6</x:f>
        <x:v>240</x:v>
      </x:c>
      <x:c r="D6" s="121" t="n">
        <x:f>'核心假设'!K6</x:f>
        <x:v>270</x:v>
      </x:c>
      <x:c r="E6" s="121" t="n">
        <x:f>'核心假设'!L6</x:f>
        <x:v>300</x:v>
      </x:c>
      <x:c r="F6" s="121" t="n">
        <x:f>'核心假设'!M6</x:f>
        <x:v>330</x:v>
      </x:c>
    </x:row>
    <x:row r="7">
      <x:c r="A7" s="32" t="str">
        <x:v>新工艺采用率</x:v>
      </x:c>
      <x:c r="B7" s="36" t="n">
        <x:f>'核心假设'!I7</x:f>
        <x:v>0.05</x:v>
      </x:c>
      <x:c r="C7" s="36" t="n">
        <x:f>'核心假设'!J7</x:f>
        <x:v>0.25</x:v>
      </x:c>
      <x:c r="D7" s="36" t="n">
        <x:f>'核心假设'!K7</x:f>
        <x:v>0.32</x:v>
      </x:c>
      <x:c r="E7" s="36" t="n">
        <x:f>'核心假设'!L7</x:f>
        <x:v>0.38</x:v>
      </x:c>
      <x:c r="F7" s="36" t="n">
        <x:f>'核心假设'!M7</x:f>
        <x:v>0.43</x:v>
      </x:c>
    </x:row>
    <x:row r="8">
      <x:c r="A8" s="32" t="str">
        <x:v>前端片数放大系数</x:v>
      </x:c>
      <x:c r="B8" s="122" t="n">
        <x:f>'核心假设'!I8</x:f>
        <x:v>1.45</x:v>
      </x:c>
      <x:c r="C8" s="122" t="n">
        <x:f>'核心假设'!J8</x:f>
        <x:v>1.4</x:v>
      </x:c>
      <x:c r="D8" s="122" t="n">
        <x:f>'核心假设'!K8</x:f>
        <x:v>1.4</x:v>
      </x:c>
      <x:c r="E8" s="122" t="n">
        <x:f>'核心假设'!L8</x:f>
        <x:v>1.35</x:v>
      </x:c>
      <x:c r="F8" s="122" t="n">
        <x:f>'核心假设'!M8</x:f>
        <x:v>1.3</x:v>
      </x:c>
    </x:row>
    <x:row r="9">
      <x:c r="A9" s="32" t="str">
        <x:v>岱勒加工份额</x:v>
      </x:c>
      <x:c r="B9" s="36" t="n">
        <x:f>'核心假设'!I9</x:f>
        <x:v>0.85</x:v>
      </x:c>
      <x:c r="C9" s="36" t="n">
        <x:f>'核心假设'!J9</x:f>
        <x:v>0.78</x:v>
      </x:c>
      <x:c r="D9" s="36" t="n">
        <x:f>'核心假设'!K9</x:f>
        <x:v>0.78</x:v>
      </x:c>
      <x:c r="E9" s="36" t="n">
        <x:f>'核心假设'!L9</x:f>
        <x:v>0.75</x:v>
      </x:c>
      <x:c r="F9" s="36" t="n">
        <x:f>'核心假设'!M9</x:f>
        <x:v>0.72</x:v>
      </x:c>
    </x:row>
    <x:row r="10">
      <x:c r="A10" s="32" t="str">
        <x:v>等效加工片数（百万片）</x:v>
      </x:c>
      <x:c r="B10" s="33" t="n">
        <x:f>'分部预测'!B55</x:f>
        <x:v>14.050500000000001</x:v>
      </x:c>
      <x:c r="C10" s="33" t="n">
        <x:f>'分部预测'!C55</x:f>
        <x:v>65.52</x:v>
      </x:c>
      <x:c r="D10" s="33" t="n">
        <x:f>'分部预测'!D55</x:f>
        <x:v>94.3488</x:v>
      </x:c>
      <x:c r="E10" s="33" t="n">
        <x:f>'分部预测'!E55</x:f>
        <x:v>115.42500000000001</x:v>
      </x:c>
      <x:c r="F10" s="33" t="n">
        <x:f>'分部预测'!F55</x:f>
        <x:v>132.81840000000003</x:v>
      </x:c>
    </x:row>
    <x:row r="11">
      <x:c r="A11" s="32" t="str">
        <x:v>单片加工费（元）</x:v>
      </x:c>
      <x:c r="B11" s="123" t="n">
        <x:f>'核心假设'!I10</x:f>
        <x:v>7</x:v>
      </x:c>
      <x:c r="C11" s="123" t="n">
        <x:f>'核心假设'!J10</x:f>
        <x:v>10</x:v>
      </x:c>
      <x:c r="D11" s="123" t="n">
        <x:f>'核心假设'!K10</x:f>
        <x:v>10.5</x:v>
      </x:c>
      <x:c r="E11" s="123" t="n">
        <x:f>'核心假设'!L10</x:f>
        <x:v>11</x:v>
      </x:c>
      <x:c r="F11" s="123" t="n">
        <x:f>'核心假设'!M10</x:f>
        <x:v>11.5</x:v>
      </x:c>
    </x:row>
    <x:row r="12">
      <x:c r="A12" s="32" t="str">
        <x:v>加工收入（百万元）</x:v>
      </x:c>
      <x:c r="B12" s="33" t="n">
        <x:f>'分部预测'!B56</x:f>
        <x:v>98.35350000000001</x:v>
      </x:c>
      <x:c r="C12" s="33" t="n">
        <x:f>'分部预测'!C56</x:f>
        <x:v>655.1999999999999</x:v>
      </x:c>
      <x:c r="D12" s="33" t="n">
        <x:f>'分部预测'!D56</x:f>
        <x:v>990.6623999999999</x:v>
      </x:c>
      <x:c r="E12" s="33" t="n">
        <x:f>'分部预测'!E56</x:f>
        <x:v>1269.6750000000002</x:v>
      </x:c>
      <x:c r="F12" s="33" t="n">
        <x:f>'分部预测'!F56</x:f>
        <x:v>1527.4116000000004</x:v>
      </x:c>
    </x:row>
    <x:row r="13">
      <x:c r="A13" s="32" t="str">
        <x:v>公开实际 / 后续校验</x:v>
      </x:c>
      <x:c r="B13" s="124" t="str">
        <x:v>2026E加工约0.98亿元</x:v>
      </x:c>
      <x:c r="C13" s="124" t="str">
        <x:v>2027E加工约6.55亿元</x:v>
      </x:c>
      <x:c r="D13" s="124" t="str">
        <x:v>未披露</x:v>
      </x:c>
      <x:c r="E13" s="124" t="str">
        <x:v>未披露</x:v>
      </x:c>
      <x:c r="F13" s="124" t="str">
        <x:v>未披露</x:v>
      </x:c>
    </x:row>
    <x:row r="16" ht="22" customHeight="1">
      <x:c r="A16" s="210" t="str">
        <x:v>2027年玻璃CNC设备机会：2万—4万台需求折算</x:v>
      </x:c>
      <x:c r="B16" s="210" t="str">
        <x:v>2027年玻璃CNC设备机会：2万—4万台需求折算</x:v>
      </x:c>
      <x:c r="C16" s="210" t="str">
        <x:v>2027年玻璃CNC设备机会：2万—4万台需求折算</x:v>
      </x:c>
      <x:c r="D16" s="210" t="str">
        <x:v>2027年玻璃CNC设备机会：2万—4万台需求折算</x:v>
      </x:c>
      <x:c r="E16" s="210" t="str">
        <x:v>2027年玻璃CNC设备机会：2万—4万台需求折算</x:v>
      </x:c>
      <x:c r="F16" s="210" t="str">
        <x:v>2027年玻璃CNC设备机会：2万—4万台需求折算</x:v>
      </x:c>
    </x:row>
    <x:row r="17" ht="28" customHeight="1">
      <x:c r="A17" s="216" t="str">
        <x:v>情景</x:v>
      </x:c>
      <x:c r="B17" s="216" t="str">
        <x:v>客户整体需求（台）</x:v>
      </x:c>
      <x:c r="C17" s="216" t="str">
        <x:v>公司竞争份额</x:v>
      </x:c>
      <x:c r="D17" s="216" t="str">
        <x:v>公司可竞争台数（台）</x:v>
      </x:c>
      <x:c r="E17" s="216" t="str">
        <x:v>研究ASP（万元/台）</x:v>
      </x:c>
      <x:c r="F17" s="216" t="str">
        <x:v>理论可竞争收入（百万元）</x:v>
      </x:c>
    </x:row>
    <x:row r="18" ht="28" customHeight="1">
      <x:c r="A18" s="219" t="str">
        <x:v>低情景</x:v>
      </x:c>
      <x:c r="B18" s="224" t="n">
        <x:v>20000</x:v>
      </x:c>
      <x:c r="C18" s="226" t="n">
        <x:v>0.1</x:v>
      </x:c>
      <x:c r="D18" s="228" t="n">
        <x:f>B18*C18</x:f>
        <x:v>2000</x:v>
      </x:c>
      <x:c r="E18" s="230" t="n">
        <x:v>15</x:v>
      </x:c>
      <x:c r="F18" s="232" t="n">
        <x:f>D18*E18/100</x:f>
        <x:v>300</x:v>
      </x:c>
    </x:row>
    <x:row r="19" ht="28" customHeight="1">
      <x:c r="A19" s="219" t="str">
        <x:v>中枢情景</x:v>
      </x:c>
      <x:c r="B19" s="224" t="n">
        <x:v>30000</x:v>
      </x:c>
      <x:c r="C19" s="226" t="n">
        <x:v>0.25</x:v>
      </x:c>
      <x:c r="D19" s="228" t="n">
        <x:f>B19*C19</x:f>
        <x:v>7500</x:v>
      </x:c>
      <x:c r="E19" s="230" t="n">
        <x:v>15</x:v>
      </x:c>
      <x:c r="F19" s="232" t="n">
        <x:f>D19*E19/100</x:f>
        <x:v>1125</x:v>
      </x:c>
    </x:row>
    <x:row r="20" ht="28" customHeight="1">
      <x:c r="A20" s="219" t="str">
        <x:v>高情景</x:v>
      </x:c>
      <x:c r="B20" s="224" t="n">
        <x:v>40000</x:v>
      </x:c>
      <x:c r="C20" s="226" t="n">
        <x:v>0.4</x:v>
      </x:c>
      <x:c r="D20" s="228" t="n">
        <x:f>B20*C20</x:f>
        <x:v>16000</x:v>
      </x:c>
      <x:c r="E20" s="230" t="n">
        <x:v>15</x:v>
      </x:c>
      <x:c r="F20" s="232" t="n">
        <x:f>D20*E20/100</x:f>
        <x:v>2400</x:v>
      </x:c>
    </x:row>
    <x:row r="21" ht="42" customHeight="1">
      <x:c r="A21" s="236" t="str">
        <x:v>2万—4万台为研究情景区间，其中产业调研锚点为客户整体3万多台、接近4万台，2万台作为下行情景；份额采用10%—40%竞争区间，15万元/台为产业调研“单台十几万元”的研究中值。结果代表可争取空间，不等于2027年已签订单、当年交付或收入确认。</x:v>
      </x:c>
      <x:c r="B21" s="236" t="str">
        <x:v>2万—4万台为研究情景区间，其中产业调研锚点为客户整体3万多台、接近4万台，2万台作为下行情景；份额采用10%—40%竞争区间，15万元/台为产业调研“单台十几万元”的研究中值。结果代表可争取空间，不等于2027年已签订单、当年交付或收入确认。</x:v>
      </x:c>
      <x:c r="C21" s="236" t="str">
        <x:v>2万—4万台为研究情景区间，其中产业调研锚点为客户整体3万多台、接近4万台，2万台作为下行情景；份额采用10%—40%竞争区间，15万元/台为产业调研“单台十几万元”的研究中值。结果代表可争取空间，不等于2027年已签订单、当年交付或收入确认。</x:v>
      </x:c>
      <x:c r="D21" s="236" t="str">
        <x:v>2万—4万台为研究情景区间，其中产业调研锚点为客户整体3万多台、接近4万台，2万台作为下行情景；份额采用10%—40%竞争区间，15万元/台为产业调研“单台十几万元”的研究中值。结果代表可争取空间，不等于2027年已签订单、当年交付或收入确认。</x:v>
      </x:c>
      <x:c r="E21" s="236" t="str">
        <x:v>2万—4万台为研究情景区间，其中产业调研锚点为客户整体3万多台、接近4万台，2万台作为下行情景；份额采用10%—40%竞争区间，15万元/台为产业调研“单台十几万元”的研究中值。结果代表可争取空间，不等于2027年已签订单、当年交付或收入确认。</x:v>
      </x:c>
      <x:c r="F21" s="236" t="str">
        <x:v>2万—4万台为研究情景区间，其中产业调研锚点为客户整体3万多台、接近4万台，2万台作为下行情景；份额采用10%—40%竞争区间，15万元/台为产业调研“单台十几万元”的研究中值。结果代表可争取空间，不等于2027年已签订单、当年交付或收入确认。</x:v>
      </x:c>
    </x:row>
    <x:row r="22" ht="42" customHeight="1">
      <x:c r="A22" s="240" t="str">
        <x:v>中枢情景理论可竞争收入约11.25亿元，与网页2027E基准设备收入12亿元接近；前者是需求空间校验，后者仍按首批设备池、获取率、交付节奏与滚动收入建模，不使用固定10%设备净利率。</x:v>
      </x:c>
      <x:c r="B22" s="240" t="str">
        <x:v>中枢情景理论可竞争收入约11.25亿元，与网页2027E基准设备收入12亿元接近；前者是需求空间校验，后者仍按首批设备池、获取率、交付节奏与滚动收入建模，不使用固定10%设备净利率。</x:v>
      </x:c>
      <x:c r="C22" s="240" t="str">
        <x:v>中枢情景理论可竞争收入约11.25亿元，与网页2027E基准设备收入12亿元接近；前者是需求空间校验，后者仍按首批设备池、获取率、交付节奏与滚动收入建模，不使用固定10%设备净利率。</x:v>
      </x:c>
      <x:c r="D22" s="240" t="str">
        <x:v>中枢情景理论可竞争收入约11.25亿元，与网页2027E基准设备收入12亿元接近；前者是需求空间校验，后者仍按首批设备池、获取率、交付节奏与滚动收入建模，不使用固定10%设备净利率。</x:v>
      </x:c>
      <x:c r="E22" s="240" t="str">
        <x:v>中枢情景理论可竞争收入约11.25亿元，与网页2027E基准设备收入12亿元接近；前者是需求空间校验，后者仍按首批设备池、获取率、交付节奏与滚动收入建模，不使用固定10%设备净利率。</x:v>
      </x:c>
      <x:c r="F22" s="240" t="str">
        <x:v>中枢情景理论可竞争收入约11.25亿元，与网页2027E基准设备收入12亿元接近；前者是需求空间校验，后者仍按首批设备池、获取率、交付节奏与滚动收入建模，不使用固定10%设备净利率。</x:v>
      </x:c>
    </x:row>
    <x:row r="23">
      <x:c r="A23"/>
      <x:c r="B23"/>
      <x:c r="C23"/>
      <x:c r="D23"/>
      <x:c r="E23"/>
      <x:c r="F23"/>
    </x:row>
    <x:row r="24">
      <x:c r="A24" s="79"/>
      <x:c r="B24" s="79"/>
      <x:c r="C24" s="79"/>
      <x:c r="D24" s="79"/>
      <x:c r="E24" s="79"/>
      <x:c r="F24" s="79"/>
    </x:row>
    <x:row r="27" ht="22" customHeight="1">
      <x:c r="A27" s="10" t="str">
        <x:v>线材与耗材：只计外售，内部自用抵销</x:v>
      </x:c>
      <x:c r="B27" s="10"/>
      <x:c r="C27" s="10"/>
      <x:c r="D27" s="10"/>
      <x:c r="E27" s="10"/>
      <x:c r="F27" s="10"/>
    </x:row>
    <x:row r="28">
      <x:c r="A28" s="26" t="str">
        <x:v>项目</x:v>
      </x:c>
      <x:c r="B28" s="26" t="str">
        <x:v>模型处理</x:v>
      </x:c>
      <x:c r="C28" s="26" t="str">
        <x:v>2026H1实际</x:v>
      </x:c>
      <x:c r="D28" s="26" t="str">
        <x:v>2026基准</x:v>
      </x:c>
      <x:c r="E28" s="26" t="str">
        <x:v>2027基准</x:v>
      </x:c>
      <x:c r="F28" s="26" t="str">
        <x:v>说明</x:v>
      </x:c>
    </x:row>
    <x:row r="29">
      <x:c r="A29" s="32" t="str">
        <x:v>加工自用金刚线</x:v>
      </x:c>
      <x:c r="B29" s="32" t="str">
        <x:v>不计收入</x:v>
      </x:c>
      <x:c r="C29" s="32" t="str">
        <x:v>含在加工成本</x:v>
      </x:c>
      <x:c r="D29" s="32" t="str">
        <x:v>含在加工成本</x:v>
      </x:c>
      <x:c r="E29" s="32" t="str">
        <x:v>含在加工成本</x:v>
      </x:c>
      <x:c r="F29" s="32" t="str">
        <x:v>集团内部销售抵销</x:v>
      </x:c>
    </x:row>
    <x:row r="30">
      <x:c r="A30" s="32" t="str">
        <x:v>外售消费电子金刚线</x:v>
      </x:c>
      <x:c r="B30" s="32" t="str">
        <x:v>单独计收入</x:v>
      </x:c>
      <x:c r="C30" s="32" t="str">
        <x:v>未单列</x:v>
      </x:c>
      <x:c r="D30" s="33" t="n">
        <x:f>'分部预测'!B57</x:f>
        <x:v>2.107575</x:v>
      </x:c>
      <x:c r="E30" s="33" t="n">
        <x:f>'分部预测'!C57</x:f>
        <x:v>49.14</x:v>
      </x:c>
      <x:c r="F30" s="32" t="str">
        <x:v>仅外部产线采购</x:v>
      </x:c>
    </x:row>
    <x:row r="31">
      <x:c r="A31" s="32" t="str">
        <x:v>加工自用药剂/耗材</x:v>
      </x:c>
      <x:c r="B31" s="32" t="str">
        <x:v>不计收入</x:v>
      </x:c>
      <x:c r="C31" s="32" t="str">
        <x:v>岱华H1收入2.08m</x:v>
      </x:c>
      <x:c r="D31" s="32" t="str">
        <x:v>含在加工成本</x:v>
      </x:c>
      <x:c r="E31" s="32" t="str">
        <x:v>含在加工成本</x:v>
      </x:c>
      <x:c r="F31" s="32" t="str">
        <x:v>集团内部销售抵销</x:v>
      </x:c>
    </x:row>
    <x:row r="32">
      <x:c r="A32" s="32" t="str">
        <x:v>外售耗材</x:v>
      </x:c>
      <x:c r="B32" s="32" t="str">
        <x:v>单独计收入</x:v>
      </x:c>
      <x:c r="C32" s="32" t="str">
        <x:v>岱华收入11.27m</x:v>
      </x:c>
      <x:c r="D32" s="33" t="n">
        <x:f>'分部预测'!B61</x:f>
        <x:v>25</x:v>
      </x:c>
      <x:c r="E32" s="33" t="n">
        <x:f>'分部预测'!C61</x:f>
        <x:v>500</x:v>
      </x:c>
      <x:c r="F32" s="32" t="str">
        <x:v>验证转量产后确认</x:v>
      </x:c>
    </x:row>
    <x:row r="35">
      <x:c r="A35" s="126" t="str">
        <x:v>主业预测不并入远期期权：机器人腱绳、玻璃基板加工/耗材、金刚石铜散热与耕驰新能源均在“增长点与期权”及“新增市场空间”中单列收入空间、实现率和折现估值；避免把尚处验证或产业化早期的方向直接计入近期营业收入和归母利润。</x:v>
      </x:c>
      <x:c r="B35" s="126" t="str">
        <x:v>主业预测不并入远期期权：机器人腱绳、玻璃基板加工/耗材、金刚石铜散热与耕驰新能源均在“增长点与期权”及“新增市场空间”中单列收入空间、实现率和折现估值；避免把尚处验证或产业化早期的方向直接计入近期营业收入和归母利润。</x:v>
      </x:c>
      <x:c r="C35" s="126" t="str">
        <x:v>主业预测不并入远期期权：机器人腱绳、玻璃基板加工/耗材、金刚石铜散热与耕驰新能源均在“增长点与期权”及“新增市场空间”中单列收入空间、实现率和折现估值；避免把尚处验证或产业化早期的方向直接计入近期营业收入和归母利润。</x:v>
      </x:c>
      <x:c r="D35" s="126" t="str">
        <x:v>主业预测不并入远期期权：机器人腱绳、玻璃基板加工/耗材、金刚石铜散热与耕驰新能源均在“增长点与期权”及“新增市场空间”中单列收入空间、实现率和折现估值；避免把尚处验证或产业化早期的方向直接计入近期营业收入和归母利润。</x:v>
      </x:c>
      <x:c r="E35" s="126" t="str">
        <x:v>主业预测不并入远期期权：机器人腱绳、玻璃基板加工/耗材、金刚石铜散热与耕驰新能源均在“增长点与期权”及“新增市场空间”中单列收入空间、实现率和折现估值；避免把尚处验证或产业化早期的方向直接计入近期营业收入和归母利润。</x:v>
      </x:c>
      <x:c r="F35" s="126" t="str">
        <x:v>主业预测不并入远期期权：机器人腱绳、玻璃基板加工/耗材、金刚石铜散热与耕驰新能源均在“增长点与期权”及“新增市场空间”中单列收入空间、实现率和折现估值；避免把尚处验证或产业化早期的方向直接计入近期营业收入和归母利润。</x:v>
      </x:c>
    </x:row>
    <x:row r="36">
      <x:c r="A36" s="126"/>
      <x:c r="B36" s="126"/>
      <x:c r="C36" s="126"/>
      <x:c r="D36" s="126"/>
      <x:c r="E36" s="126"/>
      <x:c r="F36" s="126"/>
    </x:row>
    <x:row r="37">
      <x:c r="A37" s="126"/>
      <x:c r="B37" s="126"/>
      <x:c r="C37" s="126"/>
      <x:c r="D37" s="126"/>
      <x:c r="E37" s="126"/>
      <x:c r="F37" s="126"/>
    </x:row>
  </x:sheetData>
  <x:mergeCells>
    <x:mergeCell ref="A1:N1"/>
    <x:mergeCell ref="A2:N2"/>
    <x:mergeCell ref="A4:F4"/>
    <x:mergeCell ref="A27:F27"/>
    <x:mergeCell ref="A35:F37"/>
    <x:mergeCell ref="A16:F16"/>
    <x:mergeCell ref="A21:F21"/>
    <x:mergeCell ref="A22:F22"/>
  </x:mergeCells>
  <x:pageMargins left="0.7" right="0.7" top="0.75" bottom="0.75" header="0.3" footer="0.3"/>
  <x:legacyDrawing xmlns:r="http://schemas.openxmlformats.org/officeDocument/2006/relationships" r:id="R5084731936ad4335"/>
</x:worksheet>
</file>

<file path=xl/worksheets/sheet6.xml><?xml version="1.0" encoding="utf-8"?>
<x:worksheet xmlns:x="http://schemas.openxmlformats.org/spreadsheetml/2006/main">
  <x:sheetViews>
    <x:sheetView showGridLines="0" workbookViewId="0"/>
  </x:sheetViews>
  <x:sheetFormatPr defaultRowHeight="15"/>
  <x:cols>
    <x:col min="1" max="1" width="16" hidden="0" customWidth="1"/>
    <x:col min="2" max="2" width="15" hidden="0" customWidth="1"/>
    <x:col min="3" max="3" width="15" hidden="0" customWidth="1"/>
    <x:col min="4" max="4" width="15" hidden="0" customWidth="1"/>
    <x:col min="5" max="5" width="15" hidden="0" customWidth="1"/>
  </x:cols>
  <x:sheetData>
    <x:row r="1" ht="30" customHeight="1">
      <x:c r="A1" s="3" t="str">
        <x:v>三情景对比与概率加权</x:v>
      </x:c>
      <x:c r="B1" s="3"/>
      <x:c r="C1" s="3"/>
      <x:c r="D1" s="3"/>
      <x:c r="E1" s="3"/>
      <x:c r="F1" s="3"/>
      <x:c r="G1" s="3"/>
      <x:c r="H1" s="3"/>
      <x:c r="I1" s="3"/>
      <x:c r="J1" s="3"/>
      <x:c r="K1" s="3"/>
      <x:c r="L1" s="3"/>
      <x:c r="M1" s="3"/>
      <x:c r="N1" s="3"/>
    </x:row>
    <x:row r="2" ht="28" customHeight="1">
      <x:c r="A2" s="7" t="str">
        <x:v>概率权重仅为研究者示意：悲观30%、基准60%、乐观10%。可编辑权重，但不代表客观概率。</x:v>
      </x:c>
      <x:c r="B2" s="7"/>
      <x:c r="C2" s="7"/>
      <x:c r="D2" s="7"/>
      <x:c r="E2" s="7"/>
      <x:c r="F2" s="7"/>
      <x:c r="G2" s="7"/>
      <x:c r="H2" s="7"/>
      <x:c r="I2" s="7"/>
      <x:c r="J2" s="7"/>
      <x:c r="K2" s="7"/>
      <x:c r="L2" s="7"/>
      <x:c r="M2" s="7"/>
      <x:c r="N2" s="7"/>
    </x:row>
    <x:row r="4">
      <x:c r="A4" s="26" t="str">
        <x:v>情景</x:v>
      </x:c>
      <x:c r="B4" s="26" t="str">
        <x:v>悲观</x:v>
      </x:c>
      <x:c r="C4" s="26" t="str">
        <x:v>基准</x:v>
      </x:c>
      <x:c r="D4" s="26" t="str">
        <x:v>乐观</x:v>
      </x:c>
      <x:c r="E4" s="17" t="str">
        <x:v>合计</x:v>
      </x:c>
    </x:row>
    <x:row r="5">
      <x:c r="A5" t="str">
        <x:v>概率权重</x:v>
      </x:c>
      <x:c r="B5" s="128" t="n">
        <x:v>0.3</x:v>
      </x:c>
      <x:c r="C5" s="128" t="n">
        <x:v>0.6</x:v>
      </x:c>
      <x:c r="D5" s="128" t="n">
        <x:v>0.1</x:v>
      </x:c>
      <x:c r="E5" s="129" t="n">
        <x:f>SUM(B5:D5)</x:f>
        <x:v>0.9999999999999999</x:v>
      </x:c>
    </x:row>
    <x:row r="8" ht="22" customHeight="1">
      <x:c r="A8" s="10" t="str">
        <x:v>营业收入（百万元）</x:v>
      </x:c>
      <x:c r="B8" s="10"/>
      <x:c r="C8" s="10"/>
      <x:c r="D8" s="10"/>
      <x:c r="E8" s="10"/>
    </x:row>
    <x:row r="9">
      <x:c r="A9" s="26" t="str">
        <x:v>年份</x:v>
      </x:c>
      <x:c r="B9" s="26" t="str">
        <x:v>悲观</x:v>
      </x:c>
      <x:c r="C9" s="26" t="str">
        <x:v>基准</x:v>
      </x:c>
      <x:c r="D9" s="26" t="str">
        <x:v>乐观</x:v>
      </x:c>
      <x:c r="E9" s="26" t="str">
        <x:v>概率加权</x:v>
      </x:c>
    </x:row>
    <x:row r="10">
      <x:c r="A10" s="32" t="n">
        <x:v>2026</x:v>
      </x:c>
      <x:c r="B10" s="33" t="n">
        <x:f>'分部预测'!B14</x:f>
        <x:v>490.03915</x:v>
      </x:c>
      <x:c r="C10" s="33" t="n">
        <x:f>'分部预测'!B63</x:f>
        <x:v>665.4610749999999</x:v>
      </x:c>
      <x:c r="D10" s="33" t="n">
        <x:f>'分部预测'!B112</x:f>
        <x:v>1307.54137</x:v>
      </x:c>
      <x:c r="E10" s="33" t="n">
        <x:f>SUMPRODUCT(B10:D10,$B$5:$D$5)</x:f>
        <x:v>677.042527</x:v>
      </x:c>
    </x:row>
    <x:row r="11">
      <x:c r="A11" s="32" t="n">
        <x:v>2027</x:v>
      </x:c>
      <x:c r="B11" s="33" t="n">
        <x:f>'分部预测'!C14</x:f>
        <x:v>1866.2499050000001</x:v>
      </x:c>
      <x:c r="C11" s="33" t="n">
        <x:f>'分部预测'!C63</x:f>
        <x:v>2864.34</x:v>
      </x:c>
      <x:c r="D11" s="33" t="n">
        <x:f>'分部预测'!C112</x:f>
        <x:v>3851.136</x:v>
      </x:c>
      <x:c r="E11" s="33" t="n">
        <x:f>SUMPRODUCT(B11:D11,$B$5:$D$5)</x:f>
        <x:v>2663.5925715000003</x:v>
      </x:c>
    </x:row>
    <x:row r="12">
      <x:c r="A12" s="32" t="n">
        <x:v>2028</x:v>
      </x:c>
      <x:c r="B12" s="33" t="n">
        <x:f>'分部预测'!D14</x:f>
        <x:v>1998.2791499999998</x:v>
      </x:c>
      <x:c r="C12" s="33" t="n">
        <x:f>'分部预测'!D63</x:f>
        <x:v>3576.5823442823526</x:v>
      </x:c>
      <x:c r="D12" s="33" t="n">
        <x:f>'分部预测'!D112</x:f>
        <x:v>5193.7690175</x:v>
      </x:c>
      <x:c r="E12" s="33" t="n">
        <x:f>SUMPRODUCT(B12:D12,$B$5:$D$5)</x:f>
        <x:v>3264.8100533194115</x:v>
      </x:c>
    </x:row>
    <x:row r="13">
      <x:c r="A13" s="32" t="n">
        <x:v>2029</x:v>
      </x:c>
      <x:c r="B13" s="33" t="n">
        <x:f>'分部预测'!E14</x:f>
        <x:v>2335.298304</x:v>
      </x:c>
      <x:c r="C13" s="33" t="n">
        <x:f>'分部预测'!E63</x:f>
        <x:v>4328.841727941177</x:v>
      </x:c>
      <x:c r="D13" s="33" t="n">
        <x:f>'分部预测'!E112</x:f>
        <x:v>6294.56704</x:v>
      </x:c>
      <x:c r="E13" s="33" t="n">
        <x:f>SUMPRODUCT(B13:D13,$B$5:$D$5)</x:f>
        <x:v>3927.351231964706</x:v>
      </x:c>
    </x:row>
    <x:row r="14">
      <x:c r="A14" s="32" t="n">
        <x:v>2030</x:v>
      </x:c>
      <x:c r="B14" s="33" t="n">
        <x:f>'分部预测'!F14</x:f>
        <x:v>2400.2293760000002</x:v>
      </x:c>
      <x:c r="C14" s="33" t="n">
        <x:f>'分部预测'!F63</x:f>
        <x:v>5116.1553994823535</x:v>
      </x:c>
      <x:c r="D14" s="33" t="n">
        <x:f>'分部预测'!F112</x:f>
        <x:v>8022.233550000001</x:v>
      </x:c>
      <x:c r="E14" s="33" t="n">
        <x:f>SUMPRODUCT(B14:D14,$B$5:$D$5)</x:f>
        <x:v>4591.985407489412</x:v>
      </x:c>
    </x:row>
    <x:row r="18" ht="22" customHeight="1">
      <x:c r="A18" s="10" t="str">
        <x:v>归母净利润（百万元）</x:v>
      </x:c>
      <x:c r="B18" s="10"/>
      <x:c r="C18" s="10"/>
      <x:c r="D18" s="10"/>
      <x:c r="E18" s="10"/>
    </x:row>
    <x:row r="19">
      <x:c r="A19" s="26" t="str">
        <x:v>年份</x:v>
      </x:c>
      <x:c r="B19" s="26" t="str">
        <x:v>悲观</x:v>
      </x:c>
      <x:c r="C19" s="26" t="str">
        <x:v>基准</x:v>
      </x:c>
      <x:c r="D19" s="26" t="str">
        <x:v>乐观</x:v>
      </x:c>
      <x:c r="E19" s="26" t="str">
        <x:v>概率加权</x:v>
      </x:c>
    </x:row>
    <x:row r="20">
      <x:c r="A20" s="32" t="n">
        <x:v>2026</x:v>
      </x:c>
      <x:c r="B20" s="34" t="n">
        <x:f>'分部预测'!B43</x:f>
        <x:v>5.920331038649984</x:v>
      </x:c>
      <x:c r="C20" s="34" t="n">
        <x:f>'分部预测'!B92</x:f>
        <x:v>38.53719536400002</x:v>
      </x:c>
      <x:c r="D20" s="34" t="n">
        <x:f>'分部预测'!B141</x:f>
        <x:v>149.98720241699996</x:v>
      </x:c>
      <x:c r="E20" s="34" t="n">
        <x:f>SUMPRODUCT(B20:D20,$B$5:$D$5)</x:f>
        <x:v>39.897136771695</x:v>
      </x:c>
    </x:row>
    <x:row r="21">
      <x:c r="A21" s="32" t="n">
        <x:v>2027</x:v>
      </x:c>
      <x:c r="B21" s="34" t="n">
        <x:f>'分部预测'!C43</x:f>
        <x:v>148.67034725599996</x:v>
      </x:c>
      <x:c r="C21" s="34" t="n">
        <x:f>'分部预测'!C92</x:f>
        <x:v>371.6478719999999</x:v>
      </x:c>
      <x:c r="D21" s="34" t="n">
        <x:f>'分部预测'!C141</x:f>
        <x:v>602.3532032</x:v>
      </x:c>
      <x:c r="E21" s="34" t="n">
        <x:f>SUMPRODUCT(B21:D21,$B$5:$D$5)</x:f>
        <x:v>327.82514769679995</x:v>
      </x:c>
    </x:row>
    <x:row r="22">
      <x:c r="A22" s="32" t="n">
        <x:v>2028</x:v>
      </x:c>
      <x:c r="B22" s="34" t="n">
        <x:f>'分部预测'!D43</x:f>
        <x:v>186.28591119999996</x:v>
      </x:c>
      <x:c r="C22" s="34" t="n">
        <x:f>'分部预测'!D92</x:f>
        <x:v>510.84538912617404</x:v>
      </x:c>
      <x:c r="D22" s="34" t="n">
        <x:f>'分部预测'!D141</x:f>
        <x:v>858.2011132739998</x:v>
      </x:c>
      <x:c r="E22" s="34" t="n">
        <x:f>SUMPRODUCT(B22:D22,$B$5:$D$5)</x:f>
        <x:v>448.21311816310435</x:v>
      </x:c>
    </x:row>
    <x:row r="23">
      <x:c r="A23" s="32" t="n">
        <x:v>2029</x:v>
      </x:c>
      <x:c r="B23" s="34" t="n">
        <x:f>'分部预测'!E43</x:f>
        <x:v>246.3555573760001</x:v>
      </x:c>
      <x:c r="C23" s="34" t="n">
        <x:f>'分部预测'!E92</x:f>
        <x:v>657.2872463235294</x:v>
      </x:c>
      <x:c r="D23" s="34" t="n">
        <x:f>'分部预测'!E141</x:f>
        <x:v>1105.1336209920003</x:v>
      </x:c>
      <x:c r="E23" s="34" t="n">
        <x:f>SUMPRODUCT(B23:D23,$B$5:$D$5)</x:f>
        <x:v>578.7923771061177</x:v>
      </x:c>
    </x:row>
    <x:row r="24">
      <x:c r="A24" s="32" t="n">
        <x:v>2030</x:v>
      </x:c>
      <x:c r="B24" s="34" t="n">
        <x:f>'分部预测'!F43</x:f>
        <x:v>279.41372085759997</x:v>
      </x:c>
      <x:c r="C24" s="34" t="n">
        <x:f>'分部预测'!F92</x:f>
        <x:v>817.1168638637555</x:v>
      </x:c>
      <x:c r="D24" s="34" t="n">
        <x:f>'分部预测'!F141</x:f>
        <x:v>1437.20343236</x:v>
      </x:c>
      <x:c r="E24" s="34" t="n">
        <x:f>SUMPRODUCT(B24:D24,$B$5:$D$5)</x:f>
        <x:v>717.8145778115334</x:v>
      </x:c>
    </x:row>
    <x:row r="28" ht="22" customHeight="1">
      <x:c r="A28" s="10" t="str">
        <x:v>EPS（元/股）</x:v>
      </x:c>
      <x:c r="B28" s="10"/>
      <x:c r="C28" s="10"/>
      <x:c r="D28" s="10"/>
      <x:c r="E28" s="10"/>
    </x:row>
    <x:row r="29">
      <x:c r="A29" s="26" t="str">
        <x:v>年份</x:v>
      </x:c>
      <x:c r="B29" s="26" t="str">
        <x:v>悲观</x:v>
      </x:c>
      <x:c r="C29" s="26" t="str">
        <x:v>基准</x:v>
      </x:c>
      <x:c r="D29" s="26" t="str">
        <x:v>乐观</x:v>
      </x:c>
      <x:c r="E29" s="26" t="str">
        <x:v>概率加权</x:v>
      </x:c>
    </x:row>
    <x:row r="30">
      <x:c r="A30" s="32" t="n">
        <x:v>2026</x:v>
      </x:c>
      <x:c r="B30" s="35" t="n">
        <x:f>'分部预测'!B45</x:f>
        <x:v>0.01491159002995101</x:v>
      </x:c>
      <x:c r="C30" s="35" t="n">
        <x:f>'分部预测'!B94</x:f>
        <x:v>0.09706397402790079</x:v>
      </x:c>
      <x:c r="D30" s="35" t="n">
        <x:f>'分部预测'!B143</x:f>
        <x:v>0.377774090262963</x:v>
      </x:c>
      <x:c r="E30" s="35" t="n">
        <x:f>SUMPRODUCT(B30:D30,$B$5:$D$5)</x:f>
        <x:v>0.10048927045202208</x:v>
      </x:c>
    </x:row>
    <x:row r="31">
      <x:c r="A31" s="32" t="n">
        <x:v>2027</x:v>
      </x:c>
      <x:c r="B31" s="35" t="n">
        <x:f>'分部预测'!C45</x:f>
        <x:v>0.37445731554859923</x:v>
      </x:c>
      <x:c r="C31" s="35" t="n">
        <x:f>'分部预测'!C94</x:f>
        <x:v>0.9360727747466332</x:v>
      </x:c>
      <x:c r="D31" s="35" t="n">
        <x:f>'分部预测'!C143</x:f>
        <x:v>1.5171523282580421</x:v>
      </x:c>
      <x:c r="E31" s="35" t="n">
        <x:f>SUMPRODUCT(B31:D31,$B$5:$D$5)</x:f>
        <x:v>0.8256960923383639</x:v>
      </x:c>
    </x:row>
    <x:row r="32">
      <x:c r="A32" s="32" t="n">
        <x:v>2028</x:v>
      </x:c>
      <x:c r="B32" s="35" t="n">
        <x:f>'分部预测'!D45</x:f>
        <x:v>0.4691999683861742</x:v>
      </x:c>
      <x:c r="C32" s="35" t="n">
        <x:f>'分部预测'!D94</x:f>
        <x:v>1.2866707894559435</x:v>
      </x:c>
      <x:c r="D32" s="35" t="n">
        <x:f>'分部预测'!D143</x:f>
        <x:v>2.161558717045588</x:v>
      </x:c>
      <x:c r="E32" s="35" t="n">
        <x:f>SUMPRODUCT(B32:D32,$B$5:$D$5)</x:f>
        <x:v>1.1289183358939772</x:v>
      </x:c>
    </x:row>
    <x:row r="33">
      <x:c r="A33" s="32" t="n">
        <x:v>2029</x:v>
      </x:c>
      <x:c r="B33" s="35" t="n">
        <x:f>'分部预测'!E45</x:f>
        <x:v>0.6204979162835241</x:v>
      </x:c>
      <x:c r="C33" s="35" t="n">
        <x:f>'分部预测'!E94</x:f>
        <x:v>1.6555151874289225</x:v>
      </x:c>
      <x:c r="D33" s="35" t="n">
        <x:f>'分部预测'!E143</x:f>
        <x:v>2.7835098032467034</x:v>
      </x:c>
      <x:c r="E33" s="35" t="n">
        <x:f>SUMPRODUCT(B33:D33,$B$5:$D$5)</x:f>
        <x:v>1.4578094676670812</x:v>
      </x:c>
    </x:row>
    <x:row r="34">
      <x:c r="A34" s="32" t="n">
        <x:v>2030</x:v>
      </x:c>
      <x:c r="B34" s="35" t="n">
        <x:f>'分部预测'!F45</x:f>
        <x:v>0.7037618043604859</x:v>
      </x:c>
      <x:c r="C34" s="35" t="n">
        <x:f>'分部预测'!F94</x:f>
        <x:v>2.0580794555153883</x:v>
      </x:c>
      <x:c r="D34" s="35" t="n">
        <x:f>'分部预测'!F143</x:f>
        <x:v>3.6198969674299946</x:v>
      </x:c>
      <x:c r="E34" s="35" t="n">
        <x:f>SUMPRODUCT(B34:D34,$B$5:$D$5)</x:f>
        <x:v>1.807965911360378</x:v>
      </x:c>
    </x:row>
    <x:row r="38" ht="22" customHeight="1">
      <x:c r="A38" s="10" t="str">
        <x:v>消费电子收入（百万元）</x:v>
      </x:c>
      <x:c r="B38" s="10"/>
      <x:c r="C38" s="10"/>
      <x:c r="D38" s="10"/>
      <x:c r="E38" s="10"/>
    </x:row>
    <x:row r="39">
      <x:c r="A39" s="26" t="str">
        <x:v>年份</x:v>
      </x:c>
      <x:c r="B39" s="26" t="str">
        <x:v>悲观</x:v>
      </x:c>
      <x:c r="C39" s="26" t="str">
        <x:v>基准</x:v>
      </x:c>
      <x:c r="D39" s="26" t="str">
        <x:v>乐观</x:v>
      </x:c>
      <x:c r="E39" s="26" t="str">
        <x:v>概率加权</x:v>
      </x:c>
    </x:row>
    <x:row r="40">
      <x:c r="A40" s="32" t="n">
        <x:v>2026</x:v>
      </x:c>
      <x:c r="B40" s="33" t="n">
        <x:f>'分部预测'!B15</x:f>
        <x:v>70.03915</x:v>
      </x:c>
      <x:c r="C40" s="33" t="n">
        <x:f>'分部预测'!B64</x:f>
        <x:v>225.461075</x:v>
      </x:c>
      <x:c r="D40" s="33" t="n">
        <x:f>'分部预测'!B113</x:f>
        <x:v>827.5413699999999</x:v>
      </x:c>
      <x:c r="E40" s="33" t="n">
        <x:f>SUMPRODUCT(B40:D40,$B$5:$D$5)</x:f>
        <x:v>239.042527</x:v>
      </x:c>
    </x:row>
    <x:row r="41">
      <x:c r="A41" s="32" t="n">
        <x:v>2027</x:v>
      </x:c>
      <x:c r="B41" s="33" t="n">
        <x:f>'分部预测'!C15</x:f>
        <x:v>1466.2499050000001</x:v>
      </x:c>
      <x:c r="C41" s="33" t="n">
        <x:f>'分部预测'!C64</x:f>
        <x:v>2404.34</x:v>
      </x:c>
      <x:c r="D41" s="33" t="n">
        <x:f>'分部预测'!C113</x:f>
        <x:v>3331.136</x:v>
      </x:c>
      <x:c r="E41" s="33" t="n">
        <x:f>SUMPRODUCT(B41:D41,$B$5:$D$5)</x:f>
        <x:v>2215.5925715000003</x:v>
      </x:c>
    </x:row>
    <x:row r="42">
      <x:c r="A42" s="32" t="n">
        <x:v>2028</x:v>
      </x:c>
      <x:c r="B42" s="33" t="n">
        <x:f>'分部预测'!D15</x:f>
        <x:v>1578.2791499999998</x:v>
      </x:c>
      <x:c r="C42" s="33" t="n">
        <x:f>'分部预测'!D64</x:f>
        <x:v>3096.5823442823526</x:v>
      </x:c>
      <x:c r="D42" s="33" t="n">
        <x:f>'分部预测'!D113</x:f>
        <x:v>4633.7690175</x:v>
      </x:c>
      <x:c r="E42" s="33" t="n">
        <x:f>SUMPRODUCT(B42:D42,$B$5:$D$5)</x:f>
        <x:v>2794.810053319411</x:v>
      </x:c>
    </x:row>
    <x:row r="43">
      <x:c r="A43" s="32" t="n">
        <x:v>2029</x:v>
      </x:c>
      <x:c r="B43" s="33" t="n">
        <x:f>'分部预测'!E15</x:f>
        <x:v>1895.298304</x:v>
      </x:c>
      <x:c r="C43" s="33" t="n">
        <x:f>'分部预测'!E64</x:f>
        <x:v>3828.841727941177</x:v>
      </x:c>
      <x:c r="D43" s="33" t="n">
        <x:f>'分部预测'!E113</x:f>
        <x:v>5694.56704</x:v>
      </x:c>
      <x:c r="E43" s="33" t="n">
        <x:f>SUMPRODUCT(B43:D43,$B$5:$D$5)</x:f>
        <x:v>3435.351231964706</x:v>
      </x:c>
    </x:row>
    <x:row r="44">
      <x:c r="A44" s="32" t="n">
        <x:v>2030</x:v>
      </x:c>
      <x:c r="B44" s="33" t="n">
        <x:f>'分部预测'!F15</x:f>
        <x:v>1940.2293760000002</x:v>
      </x:c>
      <x:c r="C44" s="33" t="n">
        <x:f>'分部预测'!F64</x:f>
        <x:v>4596.1553994823535</x:v>
      </x:c>
      <x:c r="D44" s="33" t="n">
        <x:f>'分部预测'!F113</x:f>
        <x:v>7382.233550000001</x:v>
      </x:c>
      <x:c r="E44" s="33" t="n">
        <x:f>SUMPRODUCT(B44:D44,$B$5:$D$5)</x:f>
        <x:v>4077.9854074894124</x:v>
      </x:c>
    </x:row>
  </x:sheetData>
  <x:mergeCells>
    <x:mergeCell ref="A1:N1"/>
    <x:mergeCell ref="A2:N2"/>
    <x:mergeCell ref="A8:E8"/>
    <x:mergeCell ref="A18:E18"/>
    <x:mergeCell ref="A28:E28"/>
    <x:mergeCell ref="A38:E38"/>
  </x:mergeCells>
  <x:pageMargins left="0.7" right="0.7" top="0.75" bottom="0.75" header="0.3" footer="0.3"/>
  <x:drawing xmlns:r="http://schemas.openxmlformats.org/officeDocument/2006/relationships" r:id="R4a0ef184e92343ad"/>
</x:worksheet>
</file>

<file path=xl/worksheets/sheet7.xml><?xml version="1.0" encoding="utf-8"?>
<x:worksheet xmlns:x="http://schemas.openxmlformats.org/spreadsheetml/2006/main">
  <x:sheetViews>
    <x:sheetView showGridLines="0" workbookViewId="0"/>
  </x:sheetViews>
  <x:sheetFormatPr defaultRowHeight="15"/>
  <x:cols>
    <x:col min="1" max="1" width="23"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s>
  <x:sheetData>
    <x:row r="1" ht="30" customHeight="1">
      <x:c r="A1" s="3" t="str">
        <x:v>2027E归母净利润敏感性</x:v>
      </x:c>
      <x:c r="B1" s="3"/>
      <x:c r="C1" s="3"/>
      <x:c r="D1" s="3"/>
      <x:c r="E1" s="3"/>
      <x:c r="F1" s="3"/>
      <x:c r="G1" s="3"/>
      <x:c r="H1" s="3"/>
      <x:c r="I1" s="3"/>
      <x:c r="J1" s="3"/>
      <x:c r="K1" s="3"/>
      <x:c r="L1" s="3"/>
      <x:c r="M1" s="3"/>
      <x:c r="N1" s="3"/>
    </x:row>
    <x:row r="2" ht="28" customHeight="1">
      <x:c r="A2" s="7" t="str">
        <x:v>以基准情景为中心，同时改变新工艺采用率与首批设备兑现比例。单位：百万元。</x:v>
      </x:c>
      <x:c r="B2" s="7"/>
      <x:c r="C2" s="7"/>
      <x:c r="D2" s="7"/>
      <x:c r="E2" s="7"/>
      <x:c r="F2" s="7"/>
      <x:c r="G2" s="7"/>
      <x:c r="H2" s="7"/>
      <x:c r="I2" s="7"/>
      <x:c r="J2" s="7"/>
      <x:c r="K2" s="7"/>
      <x:c r="L2" s="7"/>
      <x:c r="M2" s="7"/>
      <x:c r="N2" s="7"/>
    </x:row>
    <x:row r="4" ht="22" customHeight="1">
      <x:c r="A4" s="10" t="str">
        <x:v>双变量敏感性：新工艺采用率 × 首批设备兑现比例</x:v>
      </x:c>
      <x:c r="B4" s="10"/>
      <x:c r="C4" s="10"/>
      <x:c r="D4" s="10"/>
      <x:c r="E4" s="10"/>
      <x:c r="F4" s="10"/>
      <x:c r="G4" s="10"/>
      <x:c r="H4" s="10"/>
    </x:row>
    <x:row r="6">
      <x:c r="A6" s="26" t="str">
        <x:v>采用率 / 设备兑现</x:v>
      </x:c>
      <x:c r="B6" s="138" t="n">
        <x:v>0</x:v>
      </x:c>
      <x:c r="C6" s="138" t="n">
        <x:v>0.05</x:v>
      </x:c>
      <x:c r="D6" s="138" t="n">
        <x:v>0.1</x:v>
      </x:c>
      <x:c r="E6" s="138" t="n">
        <x:v>0.2</x:v>
      </x:c>
      <x:c r="F6" s="138" t="n">
        <x:v>0.3</x:v>
      </x:c>
      <x:c r="G6" s="138" t="n">
        <x:v>0.5</x:v>
      </x:c>
    </x:row>
    <x:row r="7">
      <x:c r="A7" s="139" t="n">
        <x:v>0.1</x:v>
      </x:c>
      <x:c r="B7" s="34" t="n">
        <x:f>((('核心假设'!J29*'核心假设'!J30+(('核心假设'!J6*$A7*'核心假设'!J8*'核心假设'!J9)*'核心假设'!J10)*'核心假设'!J13+(('核心假设'!J6*$A7*'核心假设'!J8*'核心假设'!J9)*'核心假设'!J11*'核心假设'!J12)*'核心假设'!J14+(('核心假设'!J17*B$6*'核心假设'!J19+'核心假设'!J20)*(1-'核心假设'!J22))*'核心假设'!J21+('核心假设'!J24*'核心假设'!J25)*'核心假设'!J26)-('核心假设'!J29+(('核心假设'!J6*$A7*'核心假设'!J8*'核心假设'!J9)*'核心假设'!J10)+(('核心假设'!J6*$A7*'核心假设'!J8*'核心假设'!J9)*'核心假设'!J11*'核心假设'!J12)+(('核心假设'!J17*B$6*'核心假设'!J19+'核心假设'!J20)*(1-'核心假设'!J22))+('核心假设'!J24*'核心假设'!J25))*('核心假设'!J31+'核心假设'!J32+'核心假设'!J33+'核心假设'!J34)-'核心假设'!J35+'核心假设'!J36)-MAX(0,(('核心假设'!J29*'核心假设'!J30+(('核心假设'!J6*$A7*'核心假设'!J8*'核心假设'!J9)*'核心假设'!J10)*'核心假设'!J13+(('核心假设'!J6*$A7*'核心假设'!J8*'核心假设'!J9)*'核心假设'!J11*'核心假设'!J12)*'核心假设'!J14+(('核心假设'!J17*B$6*'核心假设'!J19+'核心假设'!J20)*(1-'核心假设'!J22))*'核心假设'!J21+('核心假设'!J24*'核心假设'!J25)*'核心假设'!J26)-('核心假设'!J29+(('核心假设'!J6*$A7*'核心假设'!J8*'核心假设'!J9)*'核心假设'!J10)+(('核心假设'!J6*$A7*'核心假设'!J8*'核心假设'!J9)*'核心假设'!J11*'核心假设'!J12)+(('核心假设'!J17*B$6*'核心假设'!J19+'核心假设'!J20)*(1-'核心假设'!J22))+('核心假设'!J24*'核心假设'!J25))*('核心假设'!J31+'核心假设'!J32+'核心假设'!J33+'核心假设'!J34)-'核心假设'!J35+'核心假设'!J36)*'核心假设'!J37))-((((('核心假设'!J6*$A7*'核心假设'!J8*'核心假设'!J9)*'核心假设'!J10)*'核心假设'!J13-(('核心假设'!J6*$A7*'核心假设'!J8*'核心假设'!J9)*'核心假设'!J10)*('核心假设'!J31+'核心假设'!J32+'核心假设'!J33+'核心假设'!J34))-MAX(0,((('核心假设'!J6*$A7*'核心假设'!J8*'核心假设'!J9)*'核心假设'!J10)*'核心假设'!J13-(('核心假设'!J6*$A7*'核心假设'!J8*'核心假设'!J9)*'核心假设'!J10)*('核心假设'!J31+'核心假设'!J32+'核心假设'!J33+'核心假设'!J34))*'核心假设'!J37))*'核心假设'!J39+(((('核心假设'!J17*B$6*'核心假设'!J19+'核心假设'!J20)*(1-'核心假设'!J22))*'核心假设'!J21-(('核心假设'!J17*B$6*'核心假设'!J19+'核心假设'!J20)*(1-'核心假设'!J22))*('核心假设'!J31+'核心假设'!J32+'核心假设'!J33+'核心假设'!J34))-MAX(0,((('核心假设'!J17*B$6*'核心假设'!J19+'核心假设'!J20)*(1-'核心假设'!J22))*'核心假设'!J21-(('核心假设'!J17*B$6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214.4210688</x:v>
      </x:c>
      <x:c r="C7" s="34" t="n">
        <x:f>((('核心假设'!J29*'核心假设'!J30+(('核心假设'!J6*$A7*'核心假设'!J8*'核心假设'!J9)*'核心假设'!J10)*'核心假设'!J13+(('核心假设'!J6*$A7*'核心假设'!J8*'核心假设'!J9)*'核心假设'!J11*'核心假设'!J12)*'核心假设'!J14+(('核心假设'!J17*C$6*'核心假设'!J19+'核心假设'!J20)*(1-'核心假设'!J22))*'核心假设'!J21+('核心假设'!J24*'核心假设'!J25)*'核心假设'!J26)-('核心假设'!J29+(('核心假设'!J6*$A7*'核心假设'!J8*'核心假设'!J9)*'核心假设'!J10)+(('核心假设'!J6*$A7*'核心假设'!J8*'核心假设'!J9)*'核心假设'!J11*'核心假设'!J12)+(('核心假设'!J17*C$6*'核心假设'!J19+'核心假设'!J20)*(1-'核心假设'!J22))+('核心假设'!J24*'核心假设'!J25))*('核心假设'!J31+'核心假设'!J32+'核心假设'!J33+'核心假设'!J34)-'核心假设'!J35+'核心假设'!J36)-MAX(0,(('核心假设'!J29*'核心假设'!J30+(('核心假设'!J6*$A7*'核心假设'!J8*'核心假设'!J9)*'核心假设'!J10)*'核心假设'!J13+(('核心假设'!J6*$A7*'核心假设'!J8*'核心假设'!J9)*'核心假设'!J11*'核心假设'!J12)*'核心假设'!J14+(('核心假设'!J17*C$6*'核心假设'!J19+'核心假设'!J20)*(1-'核心假设'!J22))*'核心假设'!J21+('核心假设'!J24*'核心假设'!J25)*'核心假设'!J26)-('核心假设'!J29+(('核心假设'!J6*$A7*'核心假设'!J8*'核心假设'!J9)*'核心假设'!J10)+(('核心假设'!J6*$A7*'核心假设'!J8*'核心假设'!J9)*'核心假设'!J11*'核心假设'!J12)+(('核心假设'!J17*C$6*'核心假设'!J19+'核心假设'!J20)*(1-'核心假设'!J22))+('核心假设'!J24*'核心假设'!J25))*('核心假设'!J31+'核心假设'!J32+'核心假设'!J33+'核心假设'!J34)-'核心假设'!J35+'核心假设'!J36)*'核心假设'!J37))-((((('核心假设'!J6*$A7*'核心假设'!J8*'核心假设'!J9)*'核心假设'!J10)*'核心假设'!J13-(('核心假设'!J6*$A7*'核心假设'!J8*'核心假设'!J9)*'核心假设'!J10)*('核心假设'!J31+'核心假设'!J32+'核心假设'!J33+'核心假设'!J34))-MAX(0,((('核心假设'!J6*$A7*'核心假设'!J8*'核心假设'!J9)*'核心假设'!J10)*'核心假设'!J13-(('核心假设'!J6*$A7*'核心假设'!J8*'核心假设'!J9)*'核心假设'!J10)*('核心假设'!J31+'核心假设'!J32+'核心假设'!J33+'核心假设'!J34))*'核心假设'!J37))*'核心假设'!J39+(((('核心假设'!J17*C$6*'核心假设'!J19+'核心假设'!J20)*(1-'核心假设'!J22))*'核心假设'!J21-(('核心假设'!J17*C$6*'核心假设'!J19+'核心假设'!J20)*(1-'核心假设'!J22))*('核心假设'!J31+'核心假设'!J32+'核心假设'!J33+'核心假设'!J34))-MAX(0,((('核心假设'!J17*C$6*'核心假设'!J19+'核心假设'!J20)*(1-'核心假设'!J22))*'核心假设'!J21-(('核心假设'!J17*C$6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221.5202688</x:v>
      </x:c>
      <x:c r="D7" s="34" t="n">
        <x:f>((('核心假设'!J29*'核心假设'!J30+(('核心假设'!J6*$A7*'核心假设'!J8*'核心假设'!J9)*'核心假设'!J10)*'核心假设'!J13+(('核心假设'!J6*$A7*'核心假设'!J8*'核心假设'!J9)*'核心假设'!J11*'核心假设'!J12)*'核心假设'!J14+(('核心假设'!J17*D$6*'核心假设'!J19+'核心假设'!J20)*(1-'核心假设'!J22))*'核心假设'!J21+('核心假设'!J24*'核心假设'!J25)*'核心假设'!J26)-('核心假设'!J29+(('核心假设'!J6*$A7*'核心假设'!J8*'核心假设'!J9)*'核心假设'!J10)+(('核心假设'!J6*$A7*'核心假设'!J8*'核心假设'!J9)*'核心假设'!J11*'核心假设'!J12)+(('核心假设'!J17*D$6*'核心假设'!J19+'核心假设'!J20)*(1-'核心假设'!J22))+('核心假设'!J24*'核心假设'!J25))*('核心假设'!J31+'核心假设'!J32+'核心假设'!J33+'核心假设'!J34)-'核心假设'!J35+'核心假设'!J36)-MAX(0,(('核心假设'!J29*'核心假设'!J30+(('核心假设'!J6*$A7*'核心假设'!J8*'核心假设'!J9)*'核心假设'!J10)*'核心假设'!J13+(('核心假设'!J6*$A7*'核心假设'!J8*'核心假设'!J9)*'核心假设'!J11*'核心假设'!J12)*'核心假设'!J14+(('核心假设'!J17*D$6*'核心假设'!J19+'核心假设'!J20)*(1-'核心假设'!J22))*'核心假设'!J21+('核心假设'!J24*'核心假设'!J25)*'核心假设'!J26)-('核心假设'!J29+(('核心假设'!J6*$A7*'核心假设'!J8*'核心假设'!J9)*'核心假设'!J10)+(('核心假设'!J6*$A7*'核心假设'!J8*'核心假设'!J9)*'核心假设'!J11*'核心假设'!J12)+(('核心假设'!J17*D$6*'核心假设'!J19+'核心假设'!J20)*(1-'核心假设'!J22))+('核心假设'!J24*'核心假设'!J25))*('核心假设'!J31+'核心假设'!J32+'核心假设'!J33+'核心假设'!J34)-'核心假设'!J35+'核心假设'!J36)*'核心假设'!J37))-((((('核心假设'!J6*$A7*'核心假设'!J8*'核心假设'!J9)*'核心假设'!J10)*'核心假设'!J13-(('核心假设'!J6*$A7*'核心假设'!J8*'核心假设'!J9)*'核心假设'!J10)*('核心假设'!J31+'核心假设'!J32+'核心假设'!J33+'核心假设'!J34))-MAX(0,((('核心假设'!J6*$A7*'核心假设'!J8*'核心假设'!J9)*'核心假设'!J10)*'核心假设'!J13-(('核心假设'!J6*$A7*'核心假设'!J8*'核心假设'!J9)*'核心假设'!J10)*('核心假设'!J31+'核心假设'!J32+'核心假设'!J33+'核心假设'!J34))*'核心假设'!J37))*'核心假设'!J39+(((('核心假设'!J17*D$6*'核心假设'!J19+'核心假设'!J20)*(1-'核心假设'!J22))*'核心假设'!J21-(('核心假设'!J17*D$6*'核心假设'!J19+'核心假设'!J20)*(1-'核心假设'!J22))*('核心假设'!J31+'核心假设'!J32+'核心假设'!J33+'核心假设'!J34))-MAX(0,((('核心假设'!J17*D$6*'核心假设'!J19+'核心假设'!J20)*(1-'核心假设'!J22))*'核心假设'!J21-(('核心假设'!J17*D$6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228.61946879999996</x:v>
      </x:c>
      <x:c r="E7" s="34" t="n">
        <x:f>((('核心假设'!J29*'核心假设'!J30+(('核心假设'!J6*$A7*'核心假设'!J8*'核心假设'!J9)*'核心假设'!J10)*'核心假设'!J13+(('核心假设'!J6*$A7*'核心假设'!J8*'核心假设'!J9)*'核心假设'!J11*'核心假设'!J12)*'核心假设'!J14+(('核心假设'!J17*E$6*'核心假设'!J19+'核心假设'!J20)*(1-'核心假设'!J22))*'核心假设'!J21+('核心假设'!J24*'核心假设'!J25)*'核心假设'!J26)-('核心假设'!J29+(('核心假设'!J6*$A7*'核心假设'!J8*'核心假设'!J9)*'核心假设'!J10)+(('核心假设'!J6*$A7*'核心假设'!J8*'核心假设'!J9)*'核心假设'!J11*'核心假设'!J12)+(('核心假设'!J17*E$6*'核心假设'!J19+'核心假设'!J20)*(1-'核心假设'!J22))+('核心假设'!J24*'核心假设'!J25))*('核心假设'!J31+'核心假设'!J32+'核心假设'!J33+'核心假设'!J34)-'核心假设'!J35+'核心假设'!J36)-MAX(0,(('核心假设'!J29*'核心假设'!J30+(('核心假设'!J6*$A7*'核心假设'!J8*'核心假设'!J9)*'核心假设'!J10)*'核心假设'!J13+(('核心假设'!J6*$A7*'核心假设'!J8*'核心假设'!J9)*'核心假设'!J11*'核心假设'!J12)*'核心假设'!J14+(('核心假设'!J17*E$6*'核心假设'!J19+'核心假设'!J20)*(1-'核心假设'!J22))*'核心假设'!J21+('核心假设'!J24*'核心假设'!J25)*'核心假设'!J26)-('核心假设'!J29+(('核心假设'!J6*$A7*'核心假设'!J8*'核心假设'!J9)*'核心假设'!J10)+(('核心假设'!J6*$A7*'核心假设'!J8*'核心假设'!J9)*'核心假设'!J11*'核心假设'!J12)+(('核心假设'!J17*E$6*'核心假设'!J19+'核心假设'!J20)*(1-'核心假设'!J22))+('核心假设'!J24*'核心假设'!J25))*('核心假设'!J31+'核心假设'!J32+'核心假设'!J33+'核心假设'!J34)-'核心假设'!J35+'核心假设'!J36)*'核心假设'!J37))-((((('核心假设'!J6*$A7*'核心假设'!J8*'核心假设'!J9)*'核心假设'!J10)*'核心假设'!J13-(('核心假设'!J6*$A7*'核心假设'!J8*'核心假设'!J9)*'核心假设'!J10)*('核心假设'!J31+'核心假设'!J32+'核心假设'!J33+'核心假设'!J34))-MAX(0,((('核心假设'!J6*$A7*'核心假设'!J8*'核心假设'!J9)*'核心假设'!J10)*'核心假设'!J13-(('核心假设'!J6*$A7*'核心假设'!J8*'核心假设'!J9)*'核心假设'!J10)*('核心假设'!J31+'核心假设'!J32+'核心假设'!J33+'核心假设'!J34))*'核心假设'!J37))*'核心假设'!J39+(((('核心假设'!J17*E$6*'核心假设'!J19+'核心假设'!J20)*(1-'核心假设'!J22))*'核心假设'!J21-(('核心假设'!J17*E$6*'核心假设'!J19+'核心假设'!J20)*(1-'核心假设'!J22))*('核心假设'!J31+'核心假设'!J32+'核心假设'!J33+'核心假设'!J34))-MAX(0,((('核心假设'!J17*E$6*'核心假设'!J19+'核心假设'!J20)*(1-'核心假设'!J22))*'核心假设'!J21-(('核心假设'!J17*E$6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242.81786879999993</x:v>
      </x:c>
      <x:c r="F7" s="34" t="n">
        <x:f>((('核心假设'!J29*'核心假设'!J30+(('核心假设'!J6*$A7*'核心假设'!J8*'核心假设'!J9)*'核心假设'!J10)*'核心假设'!J13+(('核心假设'!J6*$A7*'核心假设'!J8*'核心假设'!J9)*'核心假设'!J11*'核心假设'!J12)*'核心假设'!J14+(('核心假设'!J17*F$6*'核心假设'!J19+'核心假设'!J20)*(1-'核心假设'!J22))*'核心假设'!J21+('核心假设'!J24*'核心假设'!J25)*'核心假设'!J26)-('核心假设'!J29+(('核心假设'!J6*$A7*'核心假设'!J8*'核心假设'!J9)*'核心假设'!J10)+(('核心假设'!J6*$A7*'核心假设'!J8*'核心假设'!J9)*'核心假设'!J11*'核心假设'!J12)+(('核心假设'!J17*F$6*'核心假设'!J19+'核心假设'!J20)*(1-'核心假设'!J22))+('核心假设'!J24*'核心假设'!J25))*('核心假设'!J31+'核心假设'!J32+'核心假设'!J33+'核心假设'!J34)-'核心假设'!J35+'核心假设'!J36)-MAX(0,(('核心假设'!J29*'核心假设'!J30+(('核心假设'!J6*$A7*'核心假设'!J8*'核心假设'!J9)*'核心假设'!J10)*'核心假设'!J13+(('核心假设'!J6*$A7*'核心假设'!J8*'核心假设'!J9)*'核心假设'!J11*'核心假设'!J12)*'核心假设'!J14+(('核心假设'!J17*F$6*'核心假设'!J19+'核心假设'!J20)*(1-'核心假设'!J22))*'核心假设'!J21+('核心假设'!J24*'核心假设'!J25)*'核心假设'!J26)-('核心假设'!J29+(('核心假设'!J6*$A7*'核心假设'!J8*'核心假设'!J9)*'核心假设'!J10)+(('核心假设'!J6*$A7*'核心假设'!J8*'核心假设'!J9)*'核心假设'!J11*'核心假设'!J12)+(('核心假设'!J17*F$6*'核心假设'!J19+'核心假设'!J20)*(1-'核心假设'!J22))+('核心假设'!J24*'核心假设'!J25))*('核心假设'!J31+'核心假设'!J32+'核心假设'!J33+'核心假设'!J34)-'核心假设'!J35+'核心假设'!J36)*'核心假设'!J37))-((((('核心假设'!J6*$A7*'核心假设'!J8*'核心假设'!J9)*'核心假设'!J10)*'核心假设'!J13-(('核心假设'!J6*$A7*'核心假设'!J8*'核心假设'!J9)*'核心假设'!J10)*('核心假设'!J31+'核心假设'!J32+'核心假设'!J33+'核心假设'!J34))-MAX(0,((('核心假设'!J6*$A7*'核心假设'!J8*'核心假设'!J9)*'核心假设'!J10)*'核心假设'!J13-(('核心假设'!J6*$A7*'核心假设'!J8*'核心假设'!J9)*'核心假设'!J10)*('核心假设'!J31+'核心假设'!J32+'核心假设'!J33+'核心假设'!J34))*'核心假设'!J37))*'核心假设'!J39+(((('核心假设'!J17*F$6*'核心假设'!J19+'核心假设'!J20)*(1-'核心假设'!J22))*'核心假设'!J21-(('核心假设'!J17*F$6*'核心假设'!J19+'核心假设'!J20)*(1-'核心假设'!J22))*('核心假设'!J31+'核心假设'!J32+'核心假设'!J33+'核心假设'!J34))-MAX(0,((('核心假设'!J17*F$6*'核心假设'!J19+'核心假设'!J20)*(1-'核心假设'!J22))*'核心假设'!J21-(('核心假设'!J17*F$6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257.0162687999999</x:v>
      </x:c>
      <x:c r="G7" s="34" t="n">
        <x:f>((('核心假设'!J29*'核心假设'!J30+(('核心假设'!J6*$A7*'核心假设'!J8*'核心假设'!J9)*'核心假设'!J10)*'核心假设'!J13+(('核心假设'!J6*$A7*'核心假设'!J8*'核心假设'!J9)*'核心假设'!J11*'核心假设'!J12)*'核心假设'!J14+(('核心假设'!J17*G$6*'核心假设'!J19+'核心假设'!J20)*(1-'核心假设'!J22))*'核心假设'!J21+('核心假设'!J24*'核心假设'!J25)*'核心假设'!J26)-('核心假设'!J29+(('核心假设'!J6*$A7*'核心假设'!J8*'核心假设'!J9)*'核心假设'!J10)+(('核心假设'!J6*$A7*'核心假设'!J8*'核心假设'!J9)*'核心假设'!J11*'核心假设'!J12)+(('核心假设'!J17*G$6*'核心假设'!J19+'核心假设'!J20)*(1-'核心假设'!J22))+('核心假设'!J24*'核心假设'!J25))*('核心假设'!J31+'核心假设'!J32+'核心假设'!J33+'核心假设'!J34)-'核心假设'!J35+'核心假设'!J36)-MAX(0,(('核心假设'!J29*'核心假设'!J30+(('核心假设'!J6*$A7*'核心假设'!J8*'核心假设'!J9)*'核心假设'!J10)*'核心假设'!J13+(('核心假设'!J6*$A7*'核心假设'!J8*'核心假设'!J9)*'核心假设'!J11*'核心假设'!J12)*'核心假设'!J14+(('核心假设'!J17*G$6*'核心假设'!J19+'核心假设'!J20)*(1-'核心假设'!J22))*'核心假设'!J21+('核心假设'!J24*'核心假设'!J25)*'核心假设'!J26)-('核心假设'!J29+(('核心假设'!J6*$A7*'核心假设'!J8*'核心假设'!J9)*'核心假设'!J10)+(('核心假设'!J6*$A7*'核心假设'!J8*'核心假设'!J9)*'核心假设'!J11*'核心假设'!J12)+(('核心假设'!J17*G$6*'核心假设'!J19+'核心假设'!J20)*(1-'核心假设'!J22))+('核心假设'!J24*'核心假设'!J25))*('核心假设'!J31+'核心假设'!J32+'核心假设'!J33+'核心假设'!J34)-'核心假设'!J35+'核心假设'!J36)*'核心假设'!J37))-((((('核心假设'!J6*$A7*'核心假设'!J8*'核心假设'!J9)*'核心假设'!J10)*'核心假设'!J13-(('核心假设'!J6*$A7*'核心假设'!J8*'核心假设'!J9)*'核心假设'!J10)*('核心假设'!J31+'核心假设'!J32+'核心假设'!J33+'核心假设'!J34))-MAX(0,((('核心假设'!J6*$A7*'核心假设'!J8*'核心假设'!J9)*'核心假设'!J10)*'核心假设'!J13-(('核心假设'!J6*$A7*'核心假设'!J8*'核心假设'!J9)*'核心假设'!J10)*('核心假设'!J31+'核心假设'!J32+'核心假设'!J33+'核心假设'!J34))*'核心假设'!J37))*'核心假设'!J39+(((('核心假设'!J17*G$6*'核心假设'!J19+'核心假设'!J20)*(1-'核心假设'!J22))*'核心假设'!J21-(('核心假设'!J17*G$6*'核心假设'!J19+'核心假设'!J20)*(1-'核心假设'!J22))*('核心假设'!J31+'核心假设'!J32+'核心假设'!J33+'核心假设'!J34))-MAX(0,((('核心假设'!J17*G$6*'核心假设'!J19+'核心假设'!J20)*(1-'核心假设'!J22))*'核心假设'!J21-(('核心假设'!J17*G$6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285.4130687999999</x:v>
      </x:c>
    </x:row>
    <x:row r="8">
      <x:c r="A8" s="139" t="n">
        <x:v>0.15</x:v>
      </x:c>
      <x:c r="B8" s="34" t="n">
        <x:f>((('核心假设'!J29*'核心假设'!J30+(('核心假设'!J6*$A8*'核心假设'!J8*'核心假设'!J9)*'核心假设'!J10)*'核心假设'!J13+(('核心假设'!J6*$A8*'核心假设'!J8*'核心假设'!J9)*'核心假设'!J11*'核心假设'!J12)*'核心假设'!J14+(('核心假设'!J17*B$6*'核心假设'!J19+'核心假设'!J20)*(1-'核心假设'!J22))*'核心假设'!J21+('核心假设'!J24*'核心假设'!J25)*'核心假设'!J26)-('核心假设'!J29+(('核心假设'!J6*$A8*'核心假设'!J8*'核心假设'!J9)*'核心假设'!J10)+(('核心假设'!J6*$A8*'核心假设'!J8*'核心假设'!J9)*'核心假设'!J11*'核心假设'!J12)+(('核心假设'!J17*B$6*'核心假设'!J19+'核心假设'!J20)*(1-'核心假设'!J22))+('核心假设'!J24*'核心假设'!J25))*('核心假设'!J31+'核心假设'!J32+'核心假设'!J33+'核心假设'!J34)-'核心假设'!J35+'核心假设'!J36)-MAX(0,(('核心假设'!J29*'核心假设'!J30+(('核心假设'!J6*$A8*'核心假设'!J8*'核心假设'!J9)*'核心假设'!J10)*'核心假设'!J13+(('核心假设'!J6*$A8*'核心假设'!J8*'核心假设'!J9)*'核心假设'!J11*'核心假设'!J12)*'核心假设'!J14+(('核心假设'!J17*B$6*'核心假设'!J19+'核心假设'!J20)*(1-'核心假设'!J22))*'核心假设'!J21+('核心假设'!J24*'核心假设'!J25)*'核心假设'!J26)-('核心假设'!J29+(('核心假设'!J6*$A8*'核心假设'!J8*'核心假设'!J9)*'核心假设'!J10)+(('核心假设'!J6*$A8*'核心假设'!J8*'核心假设'!J9)*'核心假设'!J11*'核心假设'!J12)+(('核心假设'!J17*B$6*'核心假设'!J19+'核心假设'!J20)*(1-'核心假设'!J22))+('核心假设'!J24*'核心假设'!J25))*('核心假设'!J31+'核心假设'!J32+'核心假设'!J33+'核心假设'!J34)-'核心假设'!J35+'核心假设'!J36)*'核心假设'!J37))-((((('核心假设'!J6*$A8*'核心假设'!J8*'核心假设'!J9)*'核心假设'!J10)*'核心假设'!J13-(('核心假设'!J6*$A8*'核心假设'!J8*'核心假设'!J9)*'核心假设'!J10)*('核心假设'!J31+'核心假设'!J32+'核心假设'!J33+'核心假设'!J34))-MAX(0,((('核心假设'!J6*$A8*'核心假设'!J8*'核心假设'!J9)*'核心假设'!J10)*'核心假设'!J13-(('核心假设'!J6*$A8*'核心假设'!J8*'核心假设'!J9)*'核心假设'!J10)*('核心假设'!J31+'核心假设'!J32+'核心假设'!J33+'核心假设'!J34))*'核心假设'!J37))*'核心假设'!J39+(((('核心假设'!J17*B$6*'核心假设'!J19+'核心假设'!J20)*(1-'核心假设'!J22))*'核心假设'!J21-(('核心假设'!J17*B$6*'核心假设'!J19+'核心假设'!J20)*(1-'核心假设'!J22))*('核心假设'!J31+'核心假设'!J32+'核心假设'!J33+'核心假设'!J34))-MAX(0,((('核心假设'!J17*B$6*'核心假设'!J19+'核心假设'!J20)*(1-'核心假设'!J22))*'核心假设'!J21-(('核心假设'!J17*B$6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243.16600320000003</x:v>
      </x:c>
      <x:c r="C8" s="34" t="n">
        <x:f>((('核心假设'!J29*'核心假设'!J30+(('核心假设'!J6*$A8*'核心假设'!J8*'核心假设'!J9)*'核心假设'!J10)*'核心假设'!J13+(('核心假设'!J6*$A8*'核心假设'!J8*'核心假设'!J9)*'核心假设'!J11*'核心假设'!J12)*'核心假设'!J14+(('核心假设'!J17*C$6*'核心假设'!J19+'核心假设'!J20)*(1-'核心假设'!J22))*'核心假设'!J21+('核心假设'!J24*'核心假设'!J25)*'核心假设'!J26)-('核心假设'!J29+(('核心假设'!J6*$A8*'核心假设'!J8*'核心假设'!J9)*'核心假设'!J10)+(('核心假设'!J6*$A8*'核心假设'!J8*'核心假设'!J9)*'核心假设'!J11*'核心假设'!J12)+(('核心假设'!J17*C$6*'核心假设'!J19+'核心假设'!J20)*(1-'核心假设'!J22))+('核心假设'!J24*'核心假设'!J25))*('核心假设'!J31+'核心假设'!J32+'核心假设'!J33+'核心假设'!J34)-'核心假设'!J35+'核心假设'!J36)-MAX(0,(('核心假设'!J29*'核心假设'!J30+(('核心假设'!J6*$A8*'核心假设'!J8*'核心假设'!J9)*'核心假设'!J10)*'核心假设'!J13+(('核心假设'!J6*$A8*'核心假设'!J8*'核心假设'!J9)*'核心假设'!J11*'核心假设'!J12)*'核心假设'!J14+(('核心假设'!J17*C$6*'核心假设'!J19+'核心假设'!J20)*(1-'核心假设'!J22))*'核心假设'!J21+('核心假设'!J24*'核心假设'!J25)*'核心假设'!J26)-('核心假设'!J29+(('核心假设'!J6*$A8*'核心假设'!J8*'核心假设'!J9)*'核心假设'!J10)+(('核心假设'!J6*$A8*'核心假设'!J8*'核心假设'!J9)*'核心假设'!J11*'核心假设'!J12)+(('核心假设'!J17*C$6*'核心假设'!J19+'核心假设'!J20)*(1-'核心假设'!J22))+('核心假设'!J24*'核心假设'!J25))*('核心假设'!J31+'核心假设'!J32+'核心假设'!J33+'核心假设'!J34)-'核心假设'!J35+'核心假设'!J36)*'核心假设'!J37))-((((('核心假设'!J6*$A8*'核心假设'!J8*'核心假设'!J9)*'核心假设'!J10)*'核心假设'!J13-(('核心假设'!J6*$A8*'核心假设'!J8*'核心假设'!J9)*'核心假设'!J10)*('核心假设'!J31+'核心假设'!J32+'核心假设'!J33+'核心假设'!J34))-MAX(0,((('核心假设'!J6*$A8*'核心假设'!J8*'核心假设'!J9)*'核心假设'!J10)*'核心假设'!J13-(('核心假设'!J6*$A8*'核心假设'!J8*'核心假设'!J9)*'核心假设'!J10)*('核心假设'!J31+'核心假设'!J32+'核心假设'!J33+'核心假设'!J34))*'核心假设'!J37))*'核心假设'!J39+(((('核心假设'!J17*C$6*'核心假设'!J19+'核心假设'!J20)*(1-'核心假设'!J22))*'核心假设'!J21-(('核心假设'!J17*C$6*'核心假设'!J19+'核心假设'!J20)*(1-'核心假设'!J22))*('核心假设'!J31+'核心假设'!J32+'核心假设'!J33+'核心假设'!J34))-MAX(0,((('核心假设'!J17*C$6*'核心假设'!J19+'核心假设'!J20)*(1-'核心假设'!J22))*'核心假设'!J21-(('核心假设'!J17*C$6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250.26520319999997</x:v>
      </x:c>
      <x:c r="D8" s="34" t="n">
        <x:f>((('核心假设'!J29*'核心假设'!J30+(('核心假设'!J6*$A8*'核心假设'!J8*'核心假设'!J9)*'核心假设'!J10)*'核心假设'!J13+(('核心假设'!J6*$A8*'核心假设'!J8*'核心假设'!J9)*'核心假设'!J11*'核心假设'!J12)*'核心假设'!J14+(('核心假设'!J17*D$6*'核心假设'!J19+'核心假设'!J20)*(1-'核心假设'!J22))*'核心假设'!J21+('核心假设'!J24*'核心假设'!J25)*'核心假设'!J26)-('核心假设'!J29+(('核心假设'!J6*$A8*'核心假设'!J8*'核心假设'!J9)*'核心假设'!J10)+(('核心假设'!J6*$A8*'核心假设'!J8*'核心假设'!J9)*'核心假设'!J11*'核心假设'!J12)+(('核心假设'!J17*D$6*'核心假设'!J19+'核心假设'!J20)*(1-'核心假设'!J22))+('核心假设'!J24*'核心假设'!J25))*('核心假设'!J31+'核心假设'!J32+'核心假设'!J33+'核心假设'!J34)-'核心假设'!J35+'核心假设'!J36)-MAX(0,(('核心假设'!J29*'核心假设'!J30+(('核心假设'!J6*$A8*'核心假设'!J8*'核心假设'!J9)*'核心假设'!J10)*'核心假设'!J13+(('核心假设'!J6*$A8*'核心假设'!J8*'核心假设'!J9)*'核心假设'!J11*'核心假设'!J12)*'核心假设'!J14+(('核心假设'!J17*D$6*'核心假设'!J19+'核心假设'!J20)*(1-'核心假设'!J22))*'核心假设'!J21+('核心假设'!J24*'核心假设'!J25)*'核心假设'!J26)-('核心假设'!J29+(('核心假设'!J6*$A8*'核心假设'!J8*'核心假设'!J9)*'核心假设'!J10)+(('核心假设'!J6*$A8*'核心假设'!J8*'核心假设'!J9)*'核心假设'!J11*'核心假设'!J12)+(('核心假设'!J17*D$6*'核心假设'!J19+'核心假设'!J20)*(1-'核心假设'!J22))+('核心假设'!J24*'核心假设'!J25))*('核心假设'!J31+'核心假设'!J32+'核心假设'!J33+'核心假设'!J34)-'核心假设'!J35+'核心假设'!J36)*'核心假设'!J37))-((((('核心假设'!J6*$A8*'核心假设'!J8*'核心假设'!J9)*'核心假设'!J10)*'核心假设'!J13-(('核心假设'!J6*$A8*'核心假设'!J8*'核心假设'!J9)*'核心假设'!J10)*('核心假设'!J31+'核心假设'!J32+'核心假设'!J33+'核心假设'!J34))-MAX(0,((('核心假设'!J6*$A8*'核心假设'!J8*'核心假设'!J9)*'核心假设'!J10)*'核心假设'!J13-(('核心假设'!J6*$A8*'核心假设'!J8*'核心假设'!J9)*'核心假设'!J10)*('核心假设'!J31+'核心假设'!J32+'核心假设'!J33+'核心假设'!J34))*'核心假设'!J37))*'核心假设'!J39+(((('核心假设'!J17*D$6*'核心假设'!J19+'核心假设'!J20)*(1-'核心假设'!J22))*'核心假设'!J21-(('核心假设'!J17*D$6*'核心假设'!J19+'核心假设'!J20)*(1-'核心假设'!J22))*('核心假设'!J31+'核心假设'!J32+'核心假设'!J33+'核心假设'!J34))-MAX(0,((('核心假设'!J17*D$6*'核心假设'!J19+'核心假设'!J20)*(1-'核心假设'!J22))*'核心假设'!J21-(('核心假设'!J17*D$6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257.36440319999997</x:v>
      </x:c>
      <x:c r="E8" s="34" t="n">
        <x:f>((('核心假设'!J29*'核心假设'!J30+(('核心假设'!J6*$A8*'核心假设'!J8*'核心假设'!J9)*'核心假设'!J10)*'核心假设'!J13+(('核心假设'!J6*$A8*'核心假设'!J8*'核心假设'!J9)*'核心假设'!J11*'核心假设'!J12)*'核心假设'!J14+(('核心假设'!J17*E$6*'核心假设'!J19+'核心假设'!J20)*(1-'核心假设'!J22))*'核心假设'!J21+('核心假设'!J24*'核心假设'!J25)*'核心假设'!J26)-('核心假设'!J29+(('核心假设'!J6*$A8*'核心假设'!J8*'核心假设'!J9)*'核心假设'!J10)+(('核心假设'!J6*$A8*'核心假设'!J8*'核心假设'!J9)*'核心假设'!J11*'核心假设'!J12)+(('核心假设'!J17*E$6*'核心假设'!J19+'核心假设'!J20)*(1-'核心假设'!J22))+('核心假设'!J24*'核心假设'!J25))*('核心假设'!J31+'核心假设'!J32+'核心假设'!J33+'核心假设'!J34)-'核心假设'!J35+'核心假设'!J36)-MAX(0,(('核心假设'!J29*'核心假设'!J30+(('核心假设'!J6*$A8*'核心假设'!J8*'核心假设'!J9)*'核心假设'!J10)*'核心假设'!J13+(('核心假设'!J6*$A8*'核心假设'!J8*'核心假设'!J9)*'核心假设'!J11*'核心假设'!J12)*'核心假设'!J14+(('核心假设'!J17*E$6*'核心假设'!J19+'核心假设'!J20)*(1-'核心假设'!J22))*'核心假设'!J21+('核心假设'!J24*'核心假设'!J25)*'核心假设'!J26)-('核心假设'!J29+(('核心假设'!J6*$A8*'核心假设'!J8*'核心假设'!J9)*'核心假设'!J10)+(('核心假设'!J6*$A8*'核心假设'!J8*'核心假设'!J9)*'核心假设'!J11*'核心假设'!J12)+(('核心假设'!J17*E$6*'核心假设'!J19+'核心假设'!J20)*(1-'核心假设'!J22))+('核心假设'!J24*'核心假设'!J25))*('核心假设'!J31+'核心假设'!J32+'核心假设'!J33+'核心假设'!J34)-'核心假设'!J35+'核心假设'!J36)*'核心假设'!J37))-((((('核心假设'!J6*$A8*'核心假设'!J8*'核心假设'!J9)*'核心假设'!J10)*'核心假设'!J13-(('核心假设'!J6*$A8*'核心假设'!J8*'核心假设'!J9)*'核心假设'!J10)*('核心假设'!J31+'核心假设'!J32+'核心假设'!J33+'核心假设'!J34))-MAX(0,((('核心假设'!J6*$A8*'核心假设'!J8*'核心假设'!J9)*'核心假设'!J10)*'核心假设'!J13-(('核心假设'!J6*$A8*'核心假设'!J8*'核心假设'!J9)*'核心假设'!J10)*('核心假设'!J31+'核心假设'!J32+'核心假设'!J33+'核心假设'!J34))*'核心假设'!J37))*'核心假设'!J39+(((('核心假设'!J17*E$6*'核心假设'!J19+'核心假设'!J20)*(1-'核心假设'!J22))*'核心假设'!J21-(('核心假设'!J17*E$6*'核心假设'!J19+'核心假设'!J20)*(1-'核心假设'!J22))*('核心假设'!J31+'核心假设'!J32+'核心假设'!J33+'核心假设'!J34))-MAX(0,((('核心假设'!J17*E$6*'核心假设'!J19+'核心假设'!J20)*(1-'核心假设'!J22))*'核心假设'!J21-(('核心假设'!J17*E$6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271.56280319999996</x:v>
      </x:c>
      <x:c r="F8" s="34" t="n">
        <x:f>((('核心假设'!J29*'核心假设'!J30+(('核心假设'!J6*$A8*'核心假设'!J8*'核心假设'!J9)*'核心假设'!J10)*'核心假设'!J13+(('核心假设'!J6*$A8*'核心假设'!J8*'核心假设'!J9)*'核心假设'!J11*'核心假设'!J12)*'核心假设'!J14+(('核心假设'!J17*F$6*'核心假设'!J19+'核心假设'!J20)*(1-'核心假设'!J22))*'核心假设'!J21+('核心假设'!J24*'核心假设'!J25)*'核心假设'!J26)-('核心假设'!J29+(('核心假设'!J6*$A8*'核心假设'!J8*'核心假设'!J9)*'核心假设'!J10)+(('核心假设'!J6*$A8*'核心假设'!J8*'核心假设'!J9)*'核心假设'!J11*'核心假设'!J12)+(('核心假设'!J17*F$6*'核心假设'!J19+'核心假设'!J20)*(1-'核心假设'!J22))+('核心假设'!J24*'核心假设'!J25))*('核心假设'!J31+'核心假设'!J32+'核心假设'!J33+'核心假设'!J34)-'核心假设'!J35+'核心假设'!J36)-MAX(0,(('核心假设'!J29*'核心假设'!J30+(('核心假设'!J6*$A8*'核心假设'!J8*'核心假设'!J9)*'核心假设'!J10)*'核心假设'!J13+(('核心假设'!J6*$A8*'核心假设'!J8*'核心假设'!J9)*'核心假设'!J11*'核心假设'!J12)*'核心假设'!J14+(('核心假设'!J17*F$6*'核心假设'!J19+'核心假设'!J20)*(1-'核心假设'!J22))*'核心假设'!J21+('核心假设'!J24*'核心假设'!J25)*'核心假设'!J26)-('核心假设'!J29+(('核心假设'!J6*$A8*'核心假设'!J8*'核心假设'!J9)*'核心假设'!J10)+(('核心假设'!J6*$A8*'核心假设'!J8*'核心假设'!J9)*'核心假设'!J11*'核心假设'!J12)+(('核心假设'!J17*F$6*'核心假设'!J19+'核心假设'!J20)*(1-'核心假设'!J22))+('核心假设'!J24*'核心假设'!J25))*('核心假设'!J31+'核心假设'!J32+'核心假设'!J33+'核心假设'!J34)-'核心假设'!J35+'核心假设'!J36)*'核心假设'!J37))-((((('核心假设'!J6*$A8*'核心假设'!J8*'核心假设'!J9)*'核心假设'!J10)*'核心假设'!J13-(('核心假设'!J6*$A8*'核心假设'!J8*'核心假设'!J9)*'核心假设'!J10)*('核心假设'!J31+'核心假设'!J32+'核心假设'!J33+'核心假设'!J34))-MAX(0,((('核心假设'!J6*$A8*'核心假设'!J8*'核心假设'!J9)*'核心假设'!J10)*'核心假设'!J13-(('核心假设'!J6*$A8*'核心假设'!J8*'核心假设'!J9)*'核心假设'!J10)*('核心假设'!J31+'核心假设'!J32+'核心假设'!J33+'核心假设'!J34))*'核心假设'!J37))*'核心假设'!J39+(((('核心假设'!J17*F$6*'核心假设'!J19+'核心假设'!J20)*(1-'核心假设'!J22))*'核心假设'!J21-(('核心假设'!J17*F$6*'核心假设'!J19+'核心假设'!J20)*(1-'核心假设'!J22))*('核心假设'!J31+'核心假设'!J32+'核心假设'!J33+'核心假设'!J34))-MAX(0,((('核心假设'!J17*F$6*'核心假设'!J19+'核心假设'!J20)*(1-'核心假设'!J22))*'核心假设'!J21-(('核心假设'!J17*F$6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285.76120319999995</x:v>
      </x:c>
      <x:c r="G8" s="34" t="n">
        <x:f>((('核心假设'!J29*'核心假设'!J30+(('核心假设'!J6*$A8*'核心假设'!J8*'核心假设'!J9)*'核心假设'!J10)*'核心假设'!J13+(('核心假设'!J6*$A8*'核心假设'!J8*'核心假设'!J9)*'核心假设'!J11*'核心假设'!J12)*'核心假设'!J14+(('核心假设'!J17*G$6*'核心假设'!J19+'核心假设'!J20)*(1-'核心假设'!J22))*'核心假设'!J21+('核心假设'!J24*'核心假设'!J25)*'核心假设'!J26)-('核心假设'!J29+(('核心假设'!J6*$A8*'核心假设'!J8*'核心假设'!J9)*'核心假设'!J10)+(('核心假设'!J6*$A8*'核心假设'!J8*'核心假设'!J9)*'核心假设'!J11*'核心假设'!J12)+(('核心假设'!J17*G$6*'核心假设'!J19+'核心假设'!J20)*(1-'核心假设'!J22))+('核心假设'!J24*'核心假设'!J25))*('核心假设'!J31+'核心假设'!J32+'核心假设'!J33+'核心假设'!J34)-'核心假设'!J35+'核心假设'!J36)-MAX(0,(('核心假设'!J29*'核心假设'!J30+(('核心假设'!J6*$A8*'核心假设'!J8*'核心假设'!J9)*'核心假设'!J10)*'核心假设'!J13+(('核心假设'!J6*$A8*'核心假设'!J8*'核心假设'!J9)*'核心假设'!J11*'核心假设'!J12)*'核心假设'!J14+(('核心假设'!J17*G$6*'核心假设'!J19+'核心假设'!J20)*(1-'核心假设'!J22))*'核心假设'!J21+('核心假设'!J24*'核心假设'!J25)*'核心假设'!J26)-('核心假设'!J29+(('核心假设'!J6*$A8*'核心假设'!J8*'核心假设'!J9)*'核心假设'!J10)+(('核心假设'!J6*$A8*'核心假设'!J8*'核心假设'!J9)*'核心假设'!J11*'核心假设'!J12)+(('核心假设'!J17*G$6*'核心假设'!J19+'核心假设'!J20)*(1-'核心假设'!J22))+('核心假设'!J24*'核心假设'!J25))*('核心假设'!J31+'核心假设'!J32+'核心假设'!J33+'核心假设'!J34)-'核心假设'!J35+'核心假设'!J36)*'核心假设'!J37))-((((('核心假设'!J6*$A8*'核心假设'!J8*'核心假设'!J9)*'核心假设'!J10)*'核心假设'!J13-(('核心假设'!J6*$A8*'核心假设'!J8*'核心假设'!J9)*'核心假设'!J10)*('核心假设'!J31+'核心假设'!J32+'核心假设'!J33+'核心假设'!J34))-MAX(0,((('核心假设'!J6*$A8*'核心假设'!J8*'核心假设'!J9)*'核心假设'!J10)*'核心假设'!J13-(('核心假设'!J6*$A8*'核心假设'!J8*'核心假设'!J9)*'核心假设'!J10)*('核心假设'!J31+'核心假设'!J32+'核心假设'!J33+'核心假设'!J34))*'核心假设'!J37))*'核心假设'!J39+(((('核心假设'!J17*G$6*'核心假设'!J19+'核心假设'!J20)*(1-'核心假设'!J22))*'核心假设'!J21-(('核心假设'!J17*G$6*'核心假设'!J19+'核心假设'!J20)*(1-'核心假设'!J22))*('核心假设'!J31+'核心假设'!J32+'核心假设'!J33+'核心假设'!J34))-MAX(0,((('核心假设'!J17*G$6*'核心假设'!J19+'核心假设'!J20)*(1-'核心假设'!J22))*'核心假设'!J21-(('核心假设'!J17*G$6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314.15800320000005</x:v>
      </x:c>
    </x:row>
    <x:row r="9">
      <x:c r="A9" s="139" t="n">
        <x:v>0.2</x:v>
      </x:c>
      <x:c r="B9" s="34" t="n">
        <x:f>((('核心假设'!J29*'核心假设'!J30+(('核心假设'!J6*$A9*'核心假设'!J8*'核心假设'!J9)*'核心假设'!J10)*'核心假设'!J13+(('核心假设'!J6*$A9*'核心假设'!J8*'核心假设'!J9)*'核心假设'!J11*'核心假设'!J12)*'核心假设'!J14+(('核心假设'!J17*B$6*'核心假设'!J19+'核心假设'!J20)*(1-'核心假设'!J22))*'核心假设'!J21+('核心假设'!J24*'核心假设'!J25)*'核心假设'!J26)-('核心假设'!J29+(('核心假设'!J6*$A9*'核心假设'!J8*'核心假设'!J9)*'核心假设'!J10)+(('核心假设'!J6*$A9*'核心假设'!J8*'核心假设'!J9)*'核心假设'!J11*'核心假设'!J12)+(('核心假设'!J17*B$6*'核心假设'!J19+'核心假设'!J20)*(1-'核心假设'!J22))+('核心假设'!J24*'核心假设'!J25))*('核心假设'!J31+'核心假设'!J32+'核心假设'!J33+'核心假设'!J34)-'核心假设'!J35+'核心假设'!J36)-MAX(0,(('核心假设'!J29*'核心假设'!J30+(('核心假设'!J6*$A9*'核心假设'!J8*'核心假设'!J9)*'核心假设'!J10)*'核心假设'!J13+(('核心假设'!J6*$A9*'核心假设'!J8*'核心假设'!J9)*'核心假设'!J11*'核心假设'!J12)*'核心假设'!J14+(('核心假设'!J17*B$6*'核心假设'!J19+'核心假设'!J20)*(1-'核心假设'!J22))*'核心假设'!J21+('核心假设'!J24*'核心假设'!J25)*'核心假设'!J26)-('核心假设'!J29+(('核心假设'!J6*$A9*'核心假设'!J8*'核心假设'!J9)*'核心假设'!J10)+(('核心假设'!J6*$A9*'核心假设'!J8*'核心假设'!J9)*'核心假设'!J11*'核心假设'!J12)+(('核心假设'!J17*B$6*'核心假设'!J19+'核心假设'!J20)*(1-'核心假设'!J22))+('核心假设'!J24*'核心假设'!J25))*('核心假设'!J31+'核心假设'!J32+'核心假设'!J33+'核心假设'!J34)-'核心假设'!J35+'核心假设'!J36)*'核心假设'!J37))-((((('核心假设'!J6*$A9*'核心假设'!J8*'核心假设'!J9)*'核心假设'!J10)*'核心假设'!J13-(('核心假设'!J6*$A9*'核心假设'!J8*'核心假设'!J9)*'核心假设'!J10)*('核心假设'!J31+'核心假设'!J32+'核心假设'!J33+'核心假设'!J34))-MAX(0,((('核心假设'!J6*$A9*'核心假设'!J8*'核心假设'!J9)*'核心假设'!J10)*'核心假设'!J13-(('核心假设'!J6*$A9*'核心假设'!J8*'核心假设'!J9)*'核心假设'!J10)*('核心假设'!J31+'核心假设'!J32+'核心假设'!J33+'核心假设'!J34))*'核心假设'!J37))*'核心假设'!J39+(((('核心假设'!J17*B$6*'核心假设'!J19+'核心假设'!J20)*(1-'核心假设'!J22))*'核心假设'!J21-(('核心假设'!J17*B$6*'核心假设'!J19+'核心假设'!J20)*(1-'核心假设'!J22))*('核心假设'!J31+'核心假设'!J32+'核心假设'!J33+'核心假设'!J34))-MAX(0,((('核心假设'!J17*B$6*'核心假设'!J19+'核心假设'!J20)*(1-'核心假设'!J22))*'核心假设'!J21-(('核心假设'!J17*B$6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271.91093759999995</x:v>
      </x:c>
      <x:c r="C9" s="34" t="n">
        <x:f>((('核心假设'!J29*'核心假设'!J30+(('核心假设'!J6*$A9*'核心假设'!J8*'核心假设'!J9)*'核心假设'!J10)*'核心假设'!J13+(('核心假设'!J6*$A9*'核心假设'!J8*'核心假设'!J9)*'核心假设'!J11*'核心假设'!J12)*'核心假设'!J14+(('核心假设'!J17*C$6*'核心假设'!J19+'核心假设'!J20)*(1-'核心假设'!J22))*'核心假设'!J21+('核心假设'!J24*'核心假设'!J25)*'核心假设'!J26)-('核心假设'!J29+(('核心假设'!J6*$A9*'核心假设'!J8*'核心假设'!J9)*'核心假设'!J10)+(('核心假设'!J6*$A9*'核心假设'!J8*'核心假设'!J9)*'核心假设'!J11*'核心假设'!J12)+(('核心假设'!J17*C$6*'核心假设'!J19+'核心假设'!J20)*(1-'核心假设'!J22))+('核心假设'!J24*'核心假设'!J25))*('核心假设'!J31+'核心假设'!J32+'核心假设'!J33+'核心假设'!J34)-'核心假设'!J35+'核心假设'!J36)-MAX(0,(('核心假设'!J29*'核心假设'!J30+(('核心假设'!J6*$A9*'核心假设'!J8*'核心假设'!J9)*'核心假设'!J10)*'核心假设'!J13+(('核心假设'!J6*$A9*'核心假设'!J8*'核心假设'!J9)*'核心假设'!J11*'核心假设'!J12)*'核心假设'!J14+(('核心假设'!J17*C$6*'核心假设'!J19+'核心假设'!J20)*(1-'核心假设'!J22))*'核心假设'!J21+('核心假设'!J24*'核心假设'!J25)*'核心假设'!J26)-('核心假设'!J29+(('核心假设'!J6*$A9*'核心假设'!J8*'核心假设'!J9)*'核心假设'!J10)+(('核心假设'!J6*$A9*'核心假设'!J8*'核心假设'!J9)*'核心假设'!J11*'核心假设'!J12)+(('核心假设'!J17*C$6*'核心假设'!J19+'核心假设'!J20)*(1-'核心假设'!J22))+('核心假设'!J24*'核心假设'!J25))*('核心假设'!J31+'核心假设'!J32+'核心假设'!J33+'核心假设'!J34)-'核心假设'!J35+'核心假设'!J36)*'核心假设'!J37))-((((('核心假设'!J6*$A9*'核心假设'!J8*'核心假设'!J9)*'核心假设'!J10)*'核心假设'!J13-(('核心假设'!J6*$A9*'核心假设'!J8*'核心假设'!J9)*'核心假设'!J10)*('核心假设'!J31+'核心假设'!J32+'核心假设'!J33+'核心假设'!J34))-MAX(0,((('核心假设'!J6*$A9*'核心假设'!J8*'核心假设'!J9)*'核心假设'!J10)*'核心假设'!J13-(('核心假设'!J6*$A9*'核心假设'!J8*'核心假设'!J9)*'核心假设'!J10)*('核心假设'!J31+'核心假设'!J32+'核心假设'!J33+'核心假设'!J34))*'核心假设'!J37))*'核心假设'!J39+(((('核心假设'!J17*C$6*'核心假设'!J19+'核心假设'!J20)*(1-'核心假设'!J22))*'核心假设'!J21-(('核心假设'!J17*C$6*'核心假设'!J19+'核心假设'!J20)*(1-'核心假设'!J22))*('核心假设'!J31+'核心假设'!J32+'核心假设'!J33+'核心假设'!J34))-MAX(0,((('核心假设'!J17*C$6*'核心假设'!J19+'核心假设'!J20)*(1-'核心假设'!J22))*'核心假设'!J21-(('核心假设'!J17*C$6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279.01013759999995</x:v>
      </x:c>
      <x:c r="D9" s="34" t="n">
        <x:f>((('核心假设'!J29*'核心假设'!J30+(('核心假设'!J6*$A9*'核心假设'!J8*'核心假设'!J9)*'核心假设'!J10)*'核心假设'!J13+(('核心假设'!J6*$A9*'核心假设'!J8*'核心假设'!J9)*'核心假设'!J11*'核心假设'!J12)*'核心假设'!J14+(('核心假设'!J17*D$6*'核心假设'!J19+'核心假设'!J20)*(1-'核心假设'!J22))*'核心假设'!J21+('核心假设'!J24*'核心假设'!J25)*'核心假设'!J26)-('核心假设'!J29+(('核心假设'!J6*$A9*'核心假设'!J8*'核心假设'!J9)*'核心假设'!J10)+(('核心假设'!J6*$A9*'核心假设'!J8*'核心假设'!J9)*'核心假设'!J11*'核心假设'!J12)+(('核心假设'!J17*D$6*'核心假设'!J19+'核心假设'!J20)*(1-'核心假设'!J22))+('核心假设'!J24*'核心假设'!J25))*('核心假设'!J31+'核心假设'!J32+'核心假设'!J33+'核心假设'!J34)-'核心假设'!J35+'核心假设'!J36)-MAX(0,(('核心假设'!J29*'核心假设'!J30+(('核心假设'!J6*$A9*'核心假设'!J8*'核心假设'!J9)*'核心假设'!J10)*'核心假设'!J13+(('核心假设'!J6*$A9*'核心假设'!J8*'核心假设'!J9)*'核心假设'!J11*'核心假设'!J12)*'核心假设'!J14+(('核心假设'!J17*D$6*'核心假设'!J19+'核心假设'!J20)*(1-'核心假设'!J22))*'核心假设'!J21+('核心假设'!J24*'核心假设'!J25)*'核心假设'!J26)-('核心假设'!J29+(('核心假设'!J6*$A9*'核心假设'!J8*'核心假设'!J9)*'核心假设'!J10)+(('核心假设'!J6*$A9*'核心假设'!J8*'核心假设'!J9)*'核心假设'!J11*'核心假设'!J12)+(('核心假设'!J17*D$6*'核心假设'!J19+'核心假设'!J20)*(1-'核心假设'!J22))+('核心假设'!J24*'核心假设'!J25))*('核心假设'!J31+'核心假设'!J32+'核心假设'!J33+'核心假设'!J34)-'核心假设'!J35+'核心假设'!J36)*'核心假设'!J37))-((((('核心假设'!J6*$A9*'核心假设'!J8*'核心假设'!J9)*'核心假设'!J10)*'核心假设'!J13-(('核心假设'!J6*$A9*'核心假设'!J8*'核心假设'!J9)*'核心假设'!J10)*('核心假设'!J31+'核心假设'!J32+'核心假设'!J33+'核心假设'!J34))-MAX(0,((('核心假设'!J6*$A9*'核心假设'!J8*'核心假设'!J9)*'核心假设'!J10)*'核心假设'!J13-(('核心假设'!J6*$A9*'核心假设'!J8*'核心假设'!J9)*'核心假设'!J10)*('核心假设'!J31+'核心假设'!J32+'核心假设'!J33+'核心假设'!J34))*'核心假设'!J37))*'核心假设'!J39+(((('核心假设'!J17*D$6*'核心假设'!J19+'核心假设'!J20)*(1-'核心假设'!J22))*'核心假设'!J21-(('核心假设'!J17*D$6*'核心假设'!J19+'核心假设'!J20)*(1-'核心假设'!J22))*('核心假设'!J31+'核心假设'!J32+'核心假设'!J33+'核心假设'!J34))-MAX(0,((('核心假设'!J17*D$6*'核心假设'!J19+'核心假设'!J20)*(1-'核心假设'!J22))*'核心假设'!J21-(('核心假设'!J17*D$6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286.1093376</x:v>
      </x:c>
      <x:c r="E9" s="34" t="n">
        <x:f>((('核心假设'!J29*'核心假设'!J30+(('核心假设'!J6*$A9*'核心假设'!J8*'核心假设'!J9)*'核心假设'!J10)*'核心假设'!J13+(('核心假设'!J6*$A9*'核心假设'!J8*'核心假设'!J9)*'核心假设'!J11*'核心假设'!J12)*'核心假设'!J14+(('核心假设'!J17*E$6*'核心假设'!J19+'核心假设'!J20)*(1-'核心假设'!J22))*'核心假设'!J21+('核心假设'!J24*'核心假设'!J25)*'核心假设'!J26)-('核心假设'!J29+(('核心假设'!J6*$A9*'核心假设'!J8*'核心假设'!J9)*'核心假设'!J10)+(('核心假设'!J6*$A9*'核心假设'!J8*'核心假设'!J9)*'核心假设'!J11*'核心假设'!J12)+(('核心假设'!J17*E$6*'核心假设'!J19+'核心假设'!J20)*(1-'核心假设'!J22))+('核心假设'!J24*'核心假设'!J25))*('核心假设'!J31+'核心假设'!J32+'核心假设'!J33+'核心假设'!J34)-'核心假设'!J35+'核心假设'!J36)-MAX(0,(('核心假设'!J29*'核心假设'!J30+(('核心假设'!J6*$A9*'核心假设'!J8*'核心假设'!J9)*'核心假设'!J10)*'核心假设'!J13+(('核心假设'!J6*$A9*'核心假设'!J8*'核心假设'!J9)*'核心假设'!J11*'核心假设'!J12)*'核心假设'!J14+(('核心假设'!J17*E$6*'核心假设'!J19+'核心假设'!J20)*(1-'核心假设'!J22))*'核心假设'!J21+('核心假设'!J24*'核心假设'!J25)*'核心假设'!J26)-('核心假设'!J29+(('核心假设'!J6*$A9*'核心假设'!J8*'核心假设'!J9)*'核心假设'!J10)+(('核心假设'!J6*$A9*'核心假设'!J8*'核心假设'!J9)*'核心假设'!J11*'核心假设'!J12)+(('核心假设'!J17*E$6*'核心假设'!J19+'核心假设'!J20)*(1-'核心假设'!J22))+('核心假设'!J24*'核心假设'!J25))*('核心假设'!J31+'核心假设'!J32+'核心假设'!J33+'核心假设'!J34)-'核心假设'!J35+'核心假设'!J36)*'核心假设'!J37))-((((('核心假设'!J6*$A9*'核心假设'!J8*'核心假设'!J9)*'核心假设'!J10)*'核心假设'!J13-(('核心假设'!J6*$A9*'核心假设'!J8*'核心假设'!J9)*'核心假设'!J10)*('核心假设'!J31+'核心假设'!J32+'核心假设'!J33+'核心假设'!J34))-MAX(0,((('核心假设'!J6*$A9*'核心假设'!J8*'核心假设'!J9)*'核心假设'!J10)*'核心假设'!J13-(('核心假设'!J6*$A9*'核心假设'!J8*'核心假设'!J9)*'核心假设'!J10)*('核心假设'!J31+'核心假设'!J32+'核心假设'!J33+'核心假设'!J34))*'核心假设'!J37))*'核心假设'!J39+(((('核心假设'!J17*E$6*'核心假设'!J19+'核心假设'!J20)*(1-'核心假设'!J22))*'核心假设'!J21-(('核心假设'!J17*E$6*'核心假设'!J19+'核心假设'!J20)*(1-'核心假设'!J22))*('核心假设'!J31+'核心假设'!J32+'核心假设'!J33+'核心假设'!J34))-MAX(0,((('核心假设'!J17*E$6*'核心假设'!J19+'核心假设'!J20)*(1-'核心假设'!J22))*'核心假设'!J21-(('核心假设'!J17*E$6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300.3077376</x:v>
      </x:c>
      <x:c r="F9" s="34" t="n">
        <x:f>((('核心假设'!J29*'核心假设'!J30+(('核心假设'!J6*$A9*'核心假设'!J8*'核心假设'!J9)*'核心假设'!J10)*'核心假设'!J13+(('核心假设'!J6*$A9*'核心假设'!J8*'核心假设'!J9)*'核心假设'!J11*'核心假设'!J12)*'核心假设'!J14+(('核心假设'!J17*F$6*'核心假设'!J19+'核心假设'!J20)*(1-'核心假设'!J22))*'核心假设'!J21+('核心假设'!J24*'核心假设'!J25)*'核心假设'!J26)-('核心假设'!J29+(('核心假设'!J6*$A9*'核心假设'!J8*'核心假设'!J9)*'核心假设'!J10)+(('核心假设'!J6*$A9*'核心假设'!J8*'核心假设'!J9)*'核心假设'!J11*'核心假设'!J12)+(('核心假设'!J17*F$6*'核心假设'!J19+'核心假设'!J20)*(1-'核心假设'!J22))+('核心假设'!J24*'核心假设'!J25))*('核心假设'!J31+'核心假设'!J32+'核心假设'!J33+'核心假设'!J34)-'核心假设'!J35+'核心假设'!J36)-MAX(0,(('核心假设'!J29*'核心假设'!J30+(('核心假设'!J6*$A9*'核心假设'!J8*'核心假设'!J9)*'核心假设'!J10)*'核心假设'!J13+(('核心假设'!J6*$A9*'核心假设'!J8*'核心假设'!J9)*'核心假设'!J11*'核心假设'!J12)*'核心假设'!J14+(('核心假设'!J17*F$6*'核心假设'!J19+'核心假设'!J20)*(1-'核心假设'!J22))*'核心假设'!J21+('核心假设'!J24*'核心假设'!J25)*'核心假设'!J26)-('核心假设'!J29+(('核心假设'!J6*$A9*'核心假设'!J8*'核心假设'!J9)*'核心假设'!J10)+(('核心假设'!J6*$A9*'核心假设'!J8*'核心假设'!J9)*'核心假设'!J11*'核心假设'!J12)+(('核心假设'!J17*F$6*'核心假设'!J19+'核心假设'!J20)*(1-'核心假设'!J22))+('核心假设'!J24*'核心假设'!J25))*('核心假设'!J31+'核心假设'!J32+'核心假设'!J33+'核心假设'!J34)-'核心假设'!J35+'核心假设'!J36)*'核心假设'!J37))-((((('核心假设'!J6*$A9*'核心假设'!J8*'核心假设'!J9)*'核心假设'!J10)*'核心假设'!J13-(('核心假设'!J6*$A9*'核心假设'!J8*'核心假设'!J9)*'核心假设'!J10)*('核心假设'!J31+'核心假设'!J32+'核心假设'!J33+'核心假设'!J34))-MAX(0,((('核心假设'!J6*$A9*'核心假设'!J8*'核心假设'!J9)*'核心假设'!J10)*'核心假设'!J13-(('核心假设'!J6*$A9*'核心假设'!J8*'核心假设'!J9)*'核心假设'!J10)*('核心假设'!J31+'核心假设'!J32+'核心假设'!J33+'核心假设'!J34))*'核心假设'!J37))*'核心假设'!J39+(((('核心假设'!J17*F$6*'核心假设'!J19+'核心假设'!J20)*(1-'核心假设'!J22))*'核心假设'!J21-(('核心假设'!J17*F$6*'核心假设'!J19+'核心假设'!J20)*(1-'核心假设'!J22))*('核心假设'!J31+'核心假设'!J32+'核心假设'!J33+'核心假设'!J34))-MAX(0,((('核心假设'!J17*F$6*'核心假设'!J19+'核心假设'!J20)*(1-'核心假设'!J22))*'核心假设'!J21-(('核心假设'!J17*F$6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314.50613759999993</x:v>
      </x:c>
      <x:c r="G9" s="34" t="n">
        <x:f>((('核心假设'!J29*'核心假设'!J30+(('核心假设'!J6*$A9*'核心假设'!J8*'核心假设'!J9)*'核心假设'!J10)*'核心假设'!J13+(('核心假设'!J6*$A9*'核心假设'!J8*'核心假设'!J9)*'核心假设'!J11*'核心假设'!J12)*'核心假设'!J14+(('核心假设'!J17*G$6*'核心假设'!J19+'核心假设'!J20)*(1-'核心假设'!J22))*'核心假设'!J21+('核心假设'!J24*'核心假设'!J25)*'核心假设'!J26)-('核心假设'!J29+(('核心假设'!J6*$A9*'核心假设'!J8*'核心假设'!J9)*'核心假设'!J10)+(('核心假设'!J6*$A9*'核心假设'!J8*'核心假设'!J9)*'核心假设'!J11*'核心假设'!J12)+(('核心假设'!J17*G$6*'核心假设'!J19+'核心假设'!J20)*(1-'核心假设'!J22))+('核心假设'!J24*'核心假设'!J25))*('核心假设'!J31+'核心假设'!J32+'核心假设'!J33+'核心假设'!J34)-'核心假设'!J35+'核心假设'!J36)-MAX(0,(('核心假设'!J29*'核心假设'!J30+(('核心假设'!J6*$A9*'核心假设'!J8*'核心假设'!J9)*'核心假设'!J10)*'核心假设'!J13+(('核心假设'!J6*$A9*'核心假设'!J8*'核心假设'!J9)*'核心假设'!J11*'核心假设'!J12)*'核心假设'!J14+(('核心假设'!J17*G$6*'核心假设'!J19+'核心假设'!J20)*(1-'核心假设'!J22))*'核心假设'!J21+('核心假设'!J24*'核心假设'!J25)*'核心假设'!J26)-('核心假设'!J29+(('核心假设'!J6*$A9*'核心假设'!J8*'核心假设'!J9)*'核心假设'!J10)+(('核心假设'!J6*$A9*'核心假设'!J8*'核心假设'!J9)*'核心假设'!J11*'核心假设'!J12)+(('核心假设'!J17*G$6*'核心假设'!J19+'核心假设'!J20)*(1-'核心假设'!J22))+('核心假设'!J24*'核心假设'!J25))*('核心假设'!J31+'核心假设'!J32+'核心假设'!J33+'核心假设'!J34)-'核心假设'!J35+'核心假设'!J36)*'核心假设'!J37))-((((('核心假设'!J6*$A9*'核心假设'!J8*'核心假设'!J9)*'核心假设'!J10)*'核心假设'!J13-(('核心假设'!J6*$A9*'核心假设'!J8*'核心假设'!J9)*'核心假设'!J10)*('核心假设'!J31+'核心假设'!J32+'核心假设'!J33+'核心假设'!J34))-MAX(0,((('核心假设'!J6*$A9*'核心假设'!J8*'核心假设'!J9)*'核心假设'!J10)*'核心假设'!J13-(('核心假设'!J6*$A9*'核心假设'!J8*'核心假设'!J9)*'核心假设'!J10)*('核心假设'!J31+'核心假设'!J32+'核心假设'!J33+'核心假设'!J34))*'核心假设'!J37))*'核心假设'!J39+(((('核心假设'!J17*G$6*'核心假设'!J19+'核心假设'!J20)*(1-'核心假设'!J22))*'核心假设'!J21-(('核心假设'!J17*G$6*'核心假设'!J19+'核心假设'!J20)*(1-'核心假设'!J22))*('核心假设'!J31+'核心假设'!J32+'核心假设'!J33+'核心假设'!J34))-MAX(0,((('核心假设'!J17*G$6*'核心假设'!J19+'核心假设'!J20)*(1-'核心假设'!J22))*'核心假设'!J21-(('核心假设'!J17*G$6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342.9029376</x:v>
      </x:c>
    </x:row>
    <x:row r="10">
      <x:c r="A10" s="139" t="n">
        <x:v>0.22</x:v>
      </x:c>
      <x:c r="B10" s="34" t="n">
        <x:f>((('核心假设'!J29*'核心假设'!J30+(('核心假设'!J6*$A10*'核心假设'!J8*'核心假设'!J9)*'核心假设'!J10)*'核心假设'!J13+(('核心假设'!J6*$A10*'核心假设'!J8*'核心假设'!J9)*'核心假设'!J11*'核心假设'!J12)*'核心假设'!J14+(('核心假设'!J17*B$6*'核心假设'!J19+'核心假设'!J20)*(1-'核心假设'!J22))*'核心假设'!J21+('核心假设'!J24*'核心假设'!J25)*'核心假设'!J26)-('核心假设'!J29+(('核心假设'!J6*$A10*'核心假设'!J8*'核心假设'!J9)*'核心假设'!J10)+(('核心假设'!J6*$A10*'核心假设'!J8*'核心假设'!J9)*'核心假设'!J11*'核心假设'!J12)+(('核心假设'!J17*B$6*'核心假设'!J19+'核心假设'!J20)*(1-'核心假设'!J22))+('核心假设'!J24*'核心假设'!J25))*('核心假设'!J31+'核心假设'!J32+'核心假设'!J33+'核心假设'!J34)-'核心假设'!J35+'核心假设'!J36)-MAX(0,(('核心假设'!J29*'核心假设'!J30+(('核心假设'!J6*$A10*'核心假设'!J8*'核心假设'!J9)*'核心假设'!J10)*'核心假设'!J13+(('核心假设'!J6*$A10*'核心假设'!J8*'核心假设'!J9)*'核心假设'!J11*'核心假设'!J12)*'核心假设'!J14+(('核心假设'!J17*B$6*'核心假设'!J19+'核心假设'!J20)*(1-'核心假设'!J22))*'核心假设'!J21+('核心假设'!J24*'核心假设'!J25)*'核心假设'!J26)-('核心假设'!J29+(('核心假设'!J6*$A10*'核心假设'!J8*'核心假设'!J9)*'核心假设'!J10)+(('核心假设'!J6*$A10*'核心假设'!J8*'核心假设'!J9)*'核心假设'!J11*'核心假设'!J12)+(('核心假设'!J17*B$6*'核心假设'!J19+'核心假设'!J20)*(1-'核心假设'!J22))+('核心假设'!J24*'核心假设'!J25))*('核心假设'!J31+'核心假设'!J32+'核心假设'!J33+'核心假设'!J34)-'核心假设'!J35+'核心假设'!J36)*'核心假设'!J37))-((((('核心假设'!J6*$A10*'核心假设'!J8*'核心假设'!J9)*'核心假设'!J10)*'核心假设'!J13-(('核心假设'!J6*$A10*'核心假设'!J8*'核心假设'!J9)*'核心假设'!J10)*('核心假设'!J31+'核心假设'!J32+'核心假设'!J33+'核心假设'!J34))-MAX(0,((('核心假设'!J6*$A10*'核心假设'!J8*'核心假设'!J9)*'核心假设'!J10)*'核心假设'!J13-(('核心假设'!J6*$A10*'核心假设'!J8*'核心假设'!J9)*'核心假设'!J10)*('核心假设'!J31+'核心假设'!J32+'核心假设'!J33+'核心假设'!J34))*'核心假设'!J37))*'核心假设'!J39+(((('核心假设'!J17*B$6*'核心假设'!J19+'核心假设'!J20)*(1-'核心假设'!J22))*'核心假设'!J21-(('核心假设'!J17*B$6*'核心假设'!J19+'核心假设'!J20)*(1-'核心假设'!J22))*('核心假设'!J31+'核心假设'!J32+'核心假设'!J33+'核心假设'!J34))-MAX(0,((('核心假设'!J17*B$6*'核心假设'!J19+'核心假设'!J20)*(1-'核心假设'!J22))*'核心假设'!J21-(('核心假设'!J17*B$6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283.40891136000005</x:v>
      </x:c>
      <x:c r="C10" s="34" t="n">
        <x:f>((('核心假设'!J29*'核心假设'!J30+(('核心假设'!J6*$A10*'核心假设'!J8*'核心假设'!J9)*'核心假设'!J10)*'核心假设'!J13+(('核心假设'!J6*$A10*'核心假设'!J8*'核心假设'!J9)*'核心假设'!J11*'核心假设'!J12)*'核心假设'!J14+(('核心假设'!J17*C$6*'核心假设'!J19+'核心假设'!J20)*(1-'核心假设'!J22))*'核心假设'!J21+('核心假设'!J24*'核心假设'!J25)*'核心假设'!J26)-('核心假设'!J29+(('核心假设'!J6*$A10*'核心假设'!J8*'核心假设'!J9)*'核心假设'!J10)+(('核心假设'!J6*$A10*'核心假设'!J8*'核心假设'!J9)*'核心假设'!J11*'核心假设'!J12)+(('核心假设'!J17*C$6*'核心假设'!J19+'核心假设'!J20)*(1-'核心假设'!J22))+('核心假设'!J24*'核心假设'!J25))*('核心假设'!J31+'核心假设'!J32+'核心假设'!J33+'核心假设'!J34)-'核心假设'!J35+'核心假设'!J36)-MAX(0,(('核心假设'!J29*'核心假设'!J30+(('核心假设'!J6*$A10*'核心假设'!J8*'核心假设'!J9)*'核心假设'!J10)*'核心假设'!J13+(('核心假设'!J6*$A10*'核心假设'!J8*'核心假设'!J9)*'核心假设'!J11*'核心假设'!J12)*'核心假设'!J14+(('核心假设'!J17*C$6*'核心假设'!J19+'核心假设'!J20)*(1-'核心假设'!J22))*'核心假设'!J21+('核心假设'!J24*'核心假设'!J25)*'核心假设'!J26)-('核心假设'!J29+(('核心假设'!J6*$A10*'核心假设'!J8*'核心假设'!J9)*'核心假设'!J10)+(('核心假设'!J6*$A10*'核心假设'!J8*'核心假设'!J9)*'核心假设'!J11*'核心假设'!J12)+(('核心假设'!J17*C$6*'核心假设'!J19+'核心假设'!J20)*(1-'核心假设'!J22))+('核心假设'!J24*'核心假设'!J25))*('核心假设'!J31+'核心假设'!J32+'核心假设'!J33+'核心假设'!J34)-'核心假设'!J35+'核心假设'!J36)*'核心假设'!J37))-((((('核心假设'!J6*$A10*'核心假设'!J8*'核心假设'!J9)*'核心假设'!J10)*'核心假设'!J13-(('核心假设'!J6*$A10*'核心假设'!J8*'核心假设'!J9)*'核心假设'!J10)*('核心假设'!J31+'核心假设'!J32+'核心假设'!J33+'核心假设'!J34))-MAX(0,((('核心假设'!J6*$A10*'核心假设'!J8*'核心假设'!J9)*'核心假设'!J10)*'核心假设'!J13-(('核心假设'!J6*$A10*'核心假设'!J8*'核心假设'!J9)*'核心假设'!J10)*('核心假设'!J31+'核心假设'!J32+'核心假设'!J33+'核心假设'!J34))*'核心假设'!J37))*'核心假设'!J39+(((('核心假设'!J17*C$6*'核心假设'!J19+'核心假设'!J20)*(1-'核心假设'!J22))*'核心假设'!J21-(('核心假设'!J17*C$6*'核心假设'!J19+'核心假设'!J20)*(1-'核心假设'!J22))*('核心假设'!J31+'核心假设'!J32+'核心假设'!J33+'核心假设'!J34))-MAX(0,((('核心假设'!J17*C$6*'核心假设'!J19+'核心假设'!J20)*(1-'核心假设'!J22))*'核心假设'!J21-(('核心假设'!J17*C$6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290.50811136</x:v>
      </x:c>
      <x:c r="D10" s="34" t="n">
        <x:f>((('核心假设'!J29*'核心假设'!J30+(('核心假设'!J6*$A10*'核心假设'!J8*'核心假设'!J9)*'核心假设'!J10)*'核心假设'!J13+(('核心假设'!J6*$A10*'核心假设'!J8*'核心假设'!J9)*'核心假设'!J11*'核心假设'!J12)*'核心假设'!J14+(('核心假设'!J17*D$6*'核心假设'!J19+'核心假设'!J20)*(1-'核心假设'!J22))*'核心假设'!J21+('核心假设'!J24*'核心假设'!J25)*'核心假设'!J26)-('核心假设'!J29+(('核心假设'!J6*$A10*'核心假设'!J8*'核心假设'!J9)*'核心假设'!J10)+(('核心假设'!J6*$A10*'核心假设'!J8*'核心假设'!J9)*'核心假设'!J11*'核心假设'!J12)+(('核心假设'!J17*D$6*'核心假设'!J19+'核心假设'!J20)*(1-'核心假设'!J22))+('核心假设'!J24*'核心假设'!J25))*('核心假设'!J31+'核心假设'!J32+'核心假设'!J33+'核心假设'!J34)-'核心假设'!J35+'核心假设'!J36)-MAX(0,(('核心假设'!J29*'核心假设'!J30+(('核心假设'!J6*$A10*'核心假设'!J8*'核心假设'!J9)*'核心假设'!J10)*'核心假设'!J13+(('核心假设'!J6*$A10*'核心假设'!J8*'核心假设'!J9)*'核心假设'!J11*'核心假设'!J12)*'核心假设'!J14+(('核心假设'!J17*D$6*'核心假设'!J19+'核心假设'!J20)*(1-'核心假设'!J22))*'核心假设'!J21+('核心假设'!J24*'核心假设'!J25)*'核心假设'!J26)-('核心假设'!J29+(('核心假设'!J6*$A10*'核心假设'!J8*'核心假设'!J9)*'核心假设'!J10)+(('核心假设'!J6*$A10*'核心假设'!J8*'核心假设'!J9)*'核心假设'!J11*'核心假设'!J12)+(('核心假设'!J17*D$6*'核心假设'!J19+'核心假设'!J20)*(1-'核心假设'!J22))+('核心假设'!J24*'核心假设'!J25))*('核心假设'!J31+'核心假设'!J32+'核心假设'!J33+'核心假设'!J34)-'核心假设'!J35+'核心假设'!J36)*'核心假设'!J37))-((((('核心假设'!J6*$A10*'核心假设'!J8*'核心假设'!J9)*'核心假设'!J10)*'核心假设'!J13-(('核心假设'!J6*$A10*'核心假设'!J8*'核心假设'!J9)*'核心假设'!J10)*('核心假设'!J31+'核心假设'!J32+'核心假设'!J33+'核心假设'!J34))-MAX(0,((('核心假设'!J6*$A10*'核心假设'!J8*'核心假设'!J9)*'核心假设'!J10)*'核心假设'!J13-(('核心假设'!J6*$A10*'核心假设'!J8*'核心假设'!J9)*'核心假设'!J10)*('核心假设'!J31+'核心假设'!J32+'核心假设'!J33+'核心假设'!J34))*'核心假设'!J37))*'核心假设'!J39+(((('核心假设'!J17*D$6*'核心假设'!J19+'核心假设'!J20)*(1-'核心假设'!J22))*'核心假设'!J21-(('核心假设'!J17*D$6*'核心假设'!J19+'核心假设'!J20)*(1-'核心假设'!J22))*('核心假设'!J31+'核心假设'!J32+'核心假设'!J33+'核心假设'!J34))-MAX(0,((('核心假设'!J17*D$6*'核心假设'!J19+'核心假设'!J20)*(1-'核心假设'!J22))*'核心假设'!J21-(('核心假设'!J17*D$6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297.60731136000004</x:v>
      </x:c>
      <x:c r="E10" s="34" t="n">
        <x:f>((('核心假设'!J29*'核心假设'!J30+(('核心假设'!J6*$A10*'核心假设'!J8*'核心假设'!J9)*'核心假设'!J10)*'核心假设'!J13+(('核心假设'!J6*$A10*'核心假设'!J8*'核心假设'!J9)*'核心假设'!J11*'核心假设'!J12)*'核心假设'!J14+(('核心假设'!J17*E$6*'核心假设'!J19+'核心假设'!J20)*(1-'核心假设'!J22))*'核心假设'!J21+('核心假设'!J24*'核心假设'!J25)*'核心假设'!J26)-('核心假设'!J29+(('核心假设'!J6*$A10*'核心假设'!J8*'核心假设'!J9)*'核心假设'!J10)+(('核心假设'!J6*$A10*'核心假设'!J8*'核心假设'!J9)*'核心假设'!J11*'核心假设'!J12)+(('核心假设'!J17*E$6*'核心假设'!J19+'核心假设'!J20)*(1-'核心假设'!J22))+('核心假设'!J24*'核心假设'!J25))*('核心假设'!J31+'核心假设'!J32+'核心假设'!J33+'核心假设'!J34)-'核心假设'!J35+'核心假设'!J36)-MAX(0,(('核心假设'!J29*'核心假设'!J30+(('核心假设'!J6*$A10*'核心假设'!J8*'核心假设'!J9)*'核心假设'!J10)*'核心假设'!J13+(('核心假设'!J6*$A10*'核心假设'!J8*'核心假设'!J9)*'核心假设'!J11*'核心假设'!J12)*'核心假设'!J14+(('核心假设'!J17*E$6*'核心假设'!J19+'核心假设'!J20)*(1-'核心假设'!J22))*'核心假设'!J21+('核心假设'!J24*'核心假设'!J25)*'核心假设'!J26)-('核心假设'!J29+(('核心假设'!J6*$A10*'核心假设'!J8*'核心假设'!J9)*'核心假设'!J10)+(('核心假设'!J6*$A10*'核心假设'!J8*'核心假设'!J9)*'核心假设'!J11*'核心假设'!J12)+(('核心假设'!J17*E$6*'核心假设'!J19+'核心假设'!J20)*(1-'核心假设'!J22))+('核心假设'!J24*'核心假设'!J25))*('核心假设'!J31+'核心假设'!J32+'核心假设'!J33+'核心假设'!J34)-'核心假设'!J35+'核心假设'!J36)*'核心假设'!J37))-((((('核心假设'!J6*$A10*'核心假设'!J8*'核心假设'!J9)*'核心假设'!J10)*'核心假设'!J13-(('核心假设'!J6*$A10*'核心假设'!J8*'核心假设'!J9)*'核心假设'!J10)*('核心假设'!J31+'核心假设'!J32+'核心假设'!J33+'核心假设'!J34))-MAX(0,((('核心假设'!J6*$A10*'核心假设'!J8*'核心假设'!J9)*'核心假设'!J10)*'核心假设'!J13-(('核心假设'!J6*$A10*'核心假设'!J8*'核心假设'!J9)*'核心假设'!J10)*('核心假设'!J31+'核心假设'!J32+'核心假设'!J33+'核心假设'!J34))*'核心假设'!J37))*'核心假设'!J39+(((('核心假设'!J17*E$6*'核心假设'!J19+'核心假设'!J20)*(1-'核心假设'!J22))*'核心假设'!J21-(('核心假设'!J17*E$6*'核心假设'!J19+'核心假设'!J20)*(1-'核心假设'!J22))*('核心假设'!J31+'核心假设'!J32+'核心假设'!J33+'核心假设'!J34))-MAX(0,((('核心假设'!J17*E$6*'核心假设'!J19+'核心假设'!J20)*(1-'核心假设'!J22))*'核心假设'!J21-(('核心假设'!J17*E$6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311.80571136000003</x:v>
      </x:c>
      <x:c r="F10" s="34" t="n">
        <x:f>((('核心假设'!J29*'核心假设'!J30+(('核心假设'!J6*$A10*'核心假设'!J8*'核心假设'!J9)*'核心假设'!J10)*'核心假设'!J13+(('核心假设'!J6*$A10*'核心假设'!J8*'核心假设'!J9)*'核心假设'!J11*'核心假设'!J12)*'核心假设'!J14+(('核心假设'!J17*F$6*'核心假设'!J19+'核心假设'!J20)*(1-'核心假设'!J22))*'核心假设'!J21+('核心假设'!J24*'核心假设'!J25)*'核心假设'!J26)-('核心假设'!J29+(('核心假设'!J6*$A10*'核心假设'!J8*'核心假设'!J9)*'核心假设'!J10)+(('核心假设'!J6*$A10*'核心假设'!J8*'核心假设'!J9)*'核心假设'!J11*'核心假设'!J12)+(('核心假设'!J17*F$6*'核心假设'!J19+'核心假设'!J20)*(1-'核心假设'!J22))+('核心假设'!J24*'核心假设'!J25))*('核心假设'!J31+'核心假设'!J32+'核心假设'!J33+'核心假设'!J34)-'核心假设'!J35+'核心假设'!J36)-MAX(0,(('核心假设'!J29*'核心假设'!J30+(('核心假设'!J6*$A10*'核心假设'!J8*'核心假设'!J9)*'核心假设'!J10)*'核心假设'!J13+(('核心假设'!J6*$A10*'核心假设'!J8*'核心假设'!J9)*'核心假设'!J11*'核心假设'!J12)*'核心假设'!J14+(('核心假设'!J17*F$6*'核心假设'!J19+'核心假设'!J20)*(1-'核心假设'!J22))*'核心假设'!J21+('核心假设'!J24*'核心假设'!J25)*'核心假设'!J26)-('核心假设'!J29+(('核心假设'!J6*$A10*'核心假设'!J8*'核心假设'!J9)*'核心假设'!J10)+(('核心假设'!J6*$A10*'核心假设'!J8*'核心假设'!J9)*'核心假设'!J11*'核心假设'!J12)+(('核心假设'!J17*F$6*'核心假设'!J19+'核心假设'!J20)*(1-'核心假设'!J22))+('核心假设'!J24*'核心假设'!J25))*('核心假设'!J31+'核心假设'!J32+'核心假设'!J33+'核心假设'!J34)-'核心假设'!J35+'核心假设'!J36)*'核心假设'!J37))-((((('核心假设'!J6*$A10*'核心假设'!J8*'核心假设'!J9)*'核心假设'!J10)*'核心假设'!J13-(('核心假设'!J6*$A10*'核心假设'!J8*'核心假设'!J9)*'核心假设'!J10)*('核心假设'!J31+'核心假设'!J32+'核心假设'!J33+'核心假设'!J34))-MAX(0,((('核心假设'!J6*$A10*'核心假设'!J8*'核心假设'!J9)*'核心假设'!J10)*'核心假设'!J13-(('核心假设'!J6*$A10*'核心假设'!J8*'核心假设'!J9)*'核心假设'!J10)*('核心假设'!J31+'核心假设'!J32+'核心假设'!J33+'核心假设'!J34))*'核心假设'!J37))*'核心假设'!J39+(((('核心假设'!J17*F$6*'核心假设'!J19+'核心假设'!J20)*(1-'核心假设'!J22))*'核心假设'!J21-(('核心假设'!J17*F$6*'核心假设'!J19+'核心假设'!J20)*(1-'核心假设'!J22))*('核心假设'!J31+'核心假设'!J32+'核心假设'!J33+'核心假设'!J34))-MAX(0,((('核心假设'!J17*F$6*'核心假设'!J19+'核心假设'!J20)*(1-'核心假设'!J22))*'核心假设'!J21-(('核心假设'!J17*F$6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326.00411136</x:v>
      </x:c>
      <x:c r="G10" s="34" t="n">
        <x:f>((('核心假设'!J29*'核心假设'!J30+(('核心假设'!J6*$A10*'核心假设'!J8*'核心假设'!J9)*'核心假设'!J10)*'核心假设'!J13+(('核心假设'!J6*$A10*'核心假设'!J8*'核心假设'!J9)*'核心假设'!J11*'核心假设'!J12)*'核心假设'!J14+(('核心假设'!J17*G$6*'核心假设'!J19+'核心假设'!J20)*(1-'核心假设'!J22))*'核心假设'!J21+('核心假设'!J24*'核心假设'!J25)*'核心假设'!J26)-('核心假设'!J29+(('核心假设'!J6*$A10*'核心假设'!J8*'核心假设'!J9)*'核心假设'!J10)+(('核心假设'!J6*$A10*'核心假设'!J8*'核心假设'!J9)*'核心假设'!J11*'核心假设'!J12)+(('核心假设'!J17*G$6*'核心假设'!J19+'核心假设'!J20)*(1-'核心假设'!J22))+('核心假设'!J24*'核心假设'!J25))*('核心假设'!J31+'核心假设'!J32+'核心假设'!J33+'核心假设'!J34)-'核心假设'!J35+'核心假设'!J36)-MAX(0,(('核心假设'!J29*'核心假设'!J30+(('核心假设'!J6*$A10*'核心假设'!J8*'核心假设'!J9)*'核心假设'!J10)*'核心假设'!J13+(('核心假设'!J6*$A10*'核心假设'!J8*'核心假设'!J9)*'核心假设'!J11*'核心假设'!J12)*'核心假设'!J14+(('核心假设'!J17*G$6*'核心假设'!J19+'核心假设'!J20)*(1-'核心假设'!J22))*'核心假设'!J21+('核心假设'!J24*'核心假设'!J25)*'核心假设'!J26)-('核心假设'!J29+(('核心假设'!J6*$A10*'核心假设'!J8*'核心假设'!J9)*'核心假设'!J10)+(('核心假设'!J6*$A10*'核心假设'!J8*'核心假设'!J9)*'核心假设'!J11*'核心假设'!J12)+(('核心假设'!J17*G$6*'核心假设'!J19+'核心假设'!J20)*(1-'核心假设'!J22))+('核心假设'!J24*'核心假设'!J25))*('核心假设'!J31+'核心假设'!J32+'核心假设'!J33+'核心假设'!J34)-'核心假设'!J35+'核心假设'!J36)*'核心假设'!J37))-((((('核心假设'!J6*$A10*'核心假设'!J8*'核心假设'!J9)*'核心假设'!J10)*'核心假设'!J13-(('核心假设'!J6*$A10*'核心假设'!J8*'核心假设'!J9)*'核心假设'!J10)*('核心假设'!J31+'核心假设'!J32+'核心假设'!J33+'核心假设'!J34))-MAX(0,((('核心假设'!J6*$A10*'核心假设'!J8*'核心假设'!J9)*'核心假设'!J10)*'核心假设'!J13-(('核心假设'!J6*$A10*'核心假设'!J8*'核心假设'!J9)*'核心假设'!J10)*('核心假设'!J31+'核心假设'!J32+'核心假设'!J33+'核心假设'!J34))*'核心假设'!J37))*'核心假设'!J39+(((('核心假设'!J17*G$6*'核心假设'!J19+'核心假设'!J20)*(1-'核心假设'!J22))*'核心假设'!J21-(('核心假设'!J17*G$6*'核心假设'!J19+'核心假设'!J20)*(1-'核心假设'!J22))*('核心假设'!J31+'核心假设'!J32+'核心假设'!J33+'核心假设'!J34))-MAX(0,((('核心假设'!J17*G$6*'核心假设'!J19+'核心假设'!J20)*(1-'核心假设'!J22))*'核心假设'!J21-(('核心假设'!J17*G$6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354.40091136</x:v>
      </x:c>
    </x:row>
    <x:row r="11">
      <x:c r="A11" s="139" t="n">
        <x:v>0.25</x:v>
      </x:c>
      <x:c r="B11" s="34" t="n">
        <x:f>((('核心假设'!J29*'核心假设'!J30+(('核心假设'!J6*$A11*'核心假设'!J8*'核心假设'!J9)*'核心假设'!J10)*'核心假设'!J13+(('核心假设'!J6*$A11*'核心假设'!J8*'核心假设'!J9)*'核心假设'!J11*'核心假设'!J12)*'核心假设'!J14+(('核心假设'!J17*B$6*'核心假设'!J19+'核心假设'!J20)*(1-'核心假设'!J22))*'核心假设'!J21+('核心假设'!J24*'核心假设'!J25)*'核心假设'!J26)-('核心假设'!J29+(('核心假设'!J6*$A11*'核心假设'!J8*'核心假设'!J9)*'核心假设'!J10)+(('核心假设'!J6*$A11*'核心假设'!J8*'核心假设'!J9)*'核心假设'!J11*'核心假设'!J12)+(('核心假设'!J17*B$6*'核心假设'!J19+'核心假设'!J20)*(1-'核心假设'!J22))+('核心假设'!J24*'核心假设'!J25))*('核心假设'!J31+'核心假设'!J32+'核心假设'!J33+'核心假设'!J34)-'核心假设'!J35+'核心假设'!J36)-MAX(0,(('核心假设'!J29*'核心假设'!J30+(('核心假设'!J6*$A11*'核心假设'!J8*'核心假设'!J9)*'核心假设'!J10)*'核心假设'!J13+(('核心假设'!J6*$A11*'核心假设'!J8*'核心假设'!J9)*'核心假设'!J11*'核心假设'!J12)*'核心假设'!J14+(('核心假设'!J17*B$6*'核心假设'!J19+'核心假设'!J20)*(1-'核心假设'!J22))*'核心假设'!J21+('核心假设'!J24*'核心假设'!J25)*'核心假设'!J26)-('核心假设'!J29+(('核心假设'!J6*$A11*'核心假设'!J8*'核心假设'!J9)*'核心假设'!J10)+(('核心假设'!J6*$A11*'核心假设'!J8*'核心假设'!J9)*'核心假设'!J11*'核心假设'!J12)+(('核心假设'!J17*B$6*'核心假设'!J19+'核心假设'!J20)*(1-'核心假设'!J22))+('核心假设'!J24*'核心假设'!J25))*('核心假设'!J31+'核心假设'!J32+'核心假设'!J33+'核心假设'!J34)-'核心假设'!J35+'核心假设'!J36)*'核心假设'!J37))-((((('核心假设'!J6*$A11*'核心假设'!J8*'核心假设'!J9)*'核心假设'!J10)*'核心假设'!J13-(('核心假设'!J6*$A11*'核心假设'!J8*'核心假设'!J9)*'核心假设'!J10)*('核心假设'!J31+'核心假设'!J32+'核心假设'!J33+'核心假设'!J34))-MAX(0,((('核心假设'!J6*$A11*'核心假设'!J8*'核心假设'!J9)*'核心假设'!J10)*'核心假设'!J13-(('核心假设'!J6*$A11*'核心假设'!J8*'核心假设'!J9)*'核心假设'!J10)*('核心假设'!J31+'核心假设'!J32+'核心假设'!J33+'核心假设'!J34))*'核心假设'!J37))*'核心假设'!J39+(((('核心假设'!J17*B$6*'核心假设'!J19+'核心假设'!J20)*(1-'核心假设'!J22))*'核心假设'!J21-(('核心假设'!J17*B$6*'核心假设'!J19+'核心假设'!J20)*(1-'核心假设'!J22))*('核心假设'!J31+'核心假设'!J32+'核心假设'!J33+'核心假设'!J34))-MAX(0,((('核心假设'!J17*B$6*'核心假设'!J19+'核心假设'!J20)*(1-'核心假设'!J22))*'核心假设'!J21-(('核心假设'!J17*B$6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300.65587199999993</x:v>
      </x:c>
      <x:c r="C11" s="34" t="n">
        <x:f>((('核心假设'!J29*'核心假设'!J30+(('核心假设'!J6*$A11*'核心假设'!J8*'核心假设'!J9)*'核心假设'!J10)*'核心假设'!J13+(('核心假设'!J6*$A11*'核心假设'!J8*'核心假设'!J9)*'核心假设'!J11*'核心假设'!J12)*'核心假设'!J14+(('核心假设'!J17*C$6*'核心假设'!J19+'核心假设'!J20)*(1-'核心假设'!J22))*'核心假设'!J21+('核心假设'!J24*'核心假设'!J25)*'核心假设'!J26)-('核心假设'!J29+(('核心假设'!J6*$A11*'核心假设'!J8*'核心假设'!J9)*'核心假设'!J10)+(('核心假设'!J6*$A11*'核心假设'!J8*'核心假设'!J9)*'核心假设'!J11*'核心假设'!J12)+(('核心假设'!J17*C$6*'核心假设'!J19+'核心假设'!J20)*(1-'核心假设'!J22))+('核心假设'!J24*'核心假设'!J25))*('核心假设'!J31+'核心假设'!J32+'核心假设'!J33+'核心假设'!J34)-'核心假设'!J35+'核心假设'!J36)-MAX(0,(('核心假设'!J29*'核心假设'!J30+(('核心假设'!J6*$A11*'核心假设'!J8*'核心假设'!J9)*'核心假设'!J10)*'核心假设'!J13+(('核心假设'!J6*$A11*'核心假设'!J8*'核心假设'!J9)*'核心假设'!J11*'核心假设'!J12)*'核心假设'!J14+(('核心假设'!J17*C$6*'核心假设'!J19+'核心假设'!J20)*(1-'核心假设'!J22))*'核心假设'!J21+('核心假设'!J24*'核心假设'!J25)*'核心假设'!J26)-('核心假设'!J29+(('核心假设'!J6*$A11*'核心假设'!J8*'核心假设'!J9)*'核心假设'!J10)+(('核心假设'!J6*$A11*'核心假设'!J8*'核心假设'!J9)*'核心假设'!J11*'核心假设'!J12)+(('核心假设'!J17*C$6*'核心假设'!J19+'核心假设'!J20)*(1-'核心假设'!J22))+('核心假设'!J24*'核心假设'!J25))*('核心假设'!J31+'核心假设'!J32+'核心假设'!J33+'核心假设'!J34)-'核心假设'!J35+'核心假设'!J36)*'核心假设'!J37))-((((('核心假设'!J6*$A11*'核心假设'!J8*'核心假设'!J9)*'核心假设'!J10)*'核心假设'!J13-(('核心假设'!J6*$A11*'核心假设'!J8*'核心假设'!J9)*'核心假设'!J10)*('核心假设'!J31+'核心假设'!J32+'核心假设'!J33+'核心假设'!J34))-MAX(0,((('核心假设'!J6*$A11*'核心假设'!J8*'核心假设'!J9)*'核心假设'!J10)*'核心假设'!J13-(('核心假设'!J6*$A11*'核心假设'!J8*'核心假设'!J9)*'核心假设'!J10)*('核心假设'!J31+'核心假设'!J32+'核心假设'!J33+'核心假设'!J34))*'核心假设'!J37))*'核心假设'!J39+(((('核心假设'!J17*C$6*'核心假设'!J19+'核心假设'!J20)*(1-'核心假设'!J22))*'核心假设'!J21-(('核心假设'!J17*C$6*'核心假设'!J19+'核心假设'!J20)*(1-'核心假设'!J22))*('核心假设'!J31+'核心假设'!J32+'核心假设'!J33+'核心假设'!J34))-MAX(0,((('核心假设'!J17*C$6*'核心假设'!J19+'核心假设'!J20)*(1-'核心假设'!J22))*'核心假设'!J21-(('核心假设'!J17*C$6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307.7550719999999</x:v>
      </x:c>
      <x:c r="D11" s="34" t="n">
        <x:f>((('核心假设'!J29*'核心假设'!J30+(('核心假设'!J6*$A11*'核心假设'!J8*'核心假设'!J9)*'核心假设'!J10)*'核心假设'!J13+(('核心假设'!J6*$A11*'核心假设'!J8*'核心假设'!J9)*'核心假设'!J11*'核心假设'!J12)*'核心假设'!J14+(('核心假设'!J17*D$6*'核心假设'!J19+'核心假设'!J20)*(1-'核心假设'!J22))*'核心假设'!J21+('核心假设'!J24*'核心假设'!J25)*'核心假设'!J26)-('核心假设'!J29+(('核心假设'!J6*$A11*'核心假设'!J8*'核心假设'!J9)*'核心假设'!J10)+(('核心假设'!J6*$A11*'核心假设'!J8*'核心假设'!J9)*'核心假设'!J11*'核心假设'!J12)+(('核心假设'!J17*D$6*'核心假设'!J19+'核心假设'!J20)*(1-'核心假设'!J22))+('核心假设'!J24*'核心假设'!J25))*('核心假设'!J31+'核心假设'!J32+'核心假设'!J33+'核心假设'!J34)-'核心假设'!J35+'核心假设'!J36)-MAX(0,(('核心假设'!J29*'核心假设'!J30+(('核心假设'!J6*$A11*'核心假设'!J8*'核心假设'!J9)*'核心假设'!J10)*'核心假设'!J13+(('核心假设'!J6*$A11*'核心假设'!J8*'核心假设'!J9)*'核心假设'!J11*'核心假设'!J12)*'核心假设'!J14+(('核心假设'!J17*D$6*'核心假设'!J19+'核心假设'!J20)*(1-'核心假设'!J22))*'核心假设'!J21+('核心假设'!J24*'核心假设'!J25)*'核心假设'!J26)-('核心假设'!J29+(('核心假设'!J6*$A11*'核心假设'!J8*'核心假设'!J9)*'核心假设'!J10)+(('核心假设'!J6*$A11*'核心假设'!J8*'核心假设'!J9)*'核心假设'!J11*'核心假设'!J12)+(('核心假设'!J17*D$6*'核心假设'!J19+'核心假设'!J20)*(1-'核心假设'!J22))+('核心假设'!J24*'核心假设'!J25))*('核心假设'!J31+'核心假设'!J32+'核心假设'!J33+'核心假设'!J34)-'核心假设'!J35+'核心假设'!J36)*'核心假设'!J37))-((((('核心假设'!J6*$A11*'核心假设'!J8*'核心假设'!J9)*'核心假设'!J10)*'核心假设'!J13-(('核心假设'!J6*$A11*'核心假设'!J8*'核心假设'!J9)*'核心假设'!J10)*('核心假设'!J31+'核心假设'!J32+'核心假设'!J33+'核心假设'!J34))-MAX(0,((('核心假设'!J6*$A11*'核心假设'!J8*'核心假设'!J9)*'核心假设'!J10)*'核心假设'!J13-(('核心假设'!J6*$A11*'核心假设'!J8*'核心假设'!J9)*'核心假设'!J10)*('核心假设'!J31+'核心假设'!J32+'核心假设'!J33+'核心假设'!J34))*'核心假设'!J37))*'核心假设'!J39+(((('核心假设'!J17*D$6*'核心假设'!J19+'核心假设'!J20)*(1-'核心假设'!J22))*'核心假设'!J21-(('核心假设'!J17*D$6*'核心假设'!J19+'核心假设'!J20)*(1-'核心假设'!J22))*('核心假设'!J31+'核心假设'!J32+'核心假设'!J33+'核心假设'!J34))-MAX(0,((('核心假设'!J17*D$6*'核心假设'!J19+'核心假设'!J20)*(1-'核心假设'!J22))*'核心假设'!J21-(('核心假设'!J17*D$6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314.8542719999999</x:v>
      </x:c>
      <x:c r="E11" s="34" t="n">
        <x:f>((('核心假设'!J29*'核心假设'!J30+(('核心假设'!J6*$A11*'核心假设'!J8*'核心假设'!J9)*'核心假设'!J10)*'核心假设'!J13+(('核心假设'!J6*$A11*'核心假设'!J8*'核心假设'!J9)*'核心假设'!J11*'核心假设'!J12)*'核心假设'!J14+(('核心假设'!J17*E$6*'核心假设'!J19+'核心假设'!J20)*(1-'核心假设'!J22))*'核心假设'!J21+('核心假设'!J24*'核心假设'!J25)*'核心假设'!J26)-('核心假设'!J29+(('核心假设'!J6*$A11*'核心假设'!J8*'核心假设'!J9)*'核心假设'!J10)+(('核心假设'!J6*$A11*'核心假设'!J8*'核心假设'!J9)*'核心假设'!J11*'核心假设'!J12)+(('核心假设'!J17*E$6*'核心假设'!J19+'核心假设'!J20)*(1-'核心假设'!J22))+('核心假设'!J24*'核心假设'!J25))*('核心假设'!J31+'核心假设'!J32+'核心假设'!J33+'核心假设'!J34)-'核心假设'!J35+'核心假设'!J36)-MAX(0,(('核心假设'!J29*'核心假设'!J30+(('核心假设'!J6*$A11*'核心假设'!J8*'核心假设'!J9)*'核心假设'!J10)*'核心假设'!J13+(('核心假设'!J6*$A11*'核心假设'!J8*'核心假设'!J9)*'核心假设'!J11*'核心假设'!J12)*'核心假设'!J14+(('核心假设'!J17*E$6*'核心假设'!J19+'核心假设'!J20)*(1-'核心假设'!J22))*'核心假设'!J21+('核心假设'!J24*'核心假设'!J25)*'核心假设'!J26)-('核心假设'!J29+(('核心假设'!J6*$A11*'核心假设'!J8*'核心假设'!J9)*'核心假设'!J10)+(('核心假设'!J6*$A11*'核心假设'!J8*'核心假设'!J9)*'核心假设'!J11*'核心假设'!J12)+(('核心假设'!J17*E$6*'核心假设'!J19+'核心假设'!J20)*(1-'核心假设'!J22))+('核心假设'!J24*'核心假设'!J25))*('核心假设'!J31+'核心假设'!J32+'核心假设'!J33+'核心假设'!J34)-'核心假设'!J35+'核心假设'!J36)*'核心假设'!J37))-((((('核心假设'!J6*$A11*'核心假设'!J8*'核心假设'!J9)*'核心假设'!J10)*'核心假设'!J13-(('核心假设'!J6*$A11*'核心假设'!J8*'核心假设'!J9)*'核心假设'!J10)*('核心假设'!J31+'核心假设'!J32+'核心假设'!J33+'核心假设'!J34))-MAX(0,((('核心假设'!J6*$A11*'核心假设'!J8*'核心假设'!J9)*'核心假设'!J10)*'核心假设'!J13-(('核心假设'!J6*$A11*'核心假设'!J8*'核心假设'!J9)*'核心假设'!J10)*('核心假设'!J31+'核心假设'!J32+'核心假设'!J33+'核心假设'!J34))*'核心假设'!J37))*'核心假设'!J39+(((('核心假设'!J17*E$6*'核心假设'!J19+'核心假设'!J20)*(1-'核心假设'!J22))*'核心假设'!J21-(('核心假设'!J17*E$6*'核心假设'!J19+'核心假设'!J20)*(1-'核心假设'!J22))*('核心假设'!J31+'核心假设'!J32+'核心假设'!J33+'核心假设'!J34))-MAX(0,((('核心假设'!J17*E$6*'核心假设'!J19+'核心假设'!J20)*(1-'核心假设'!J22))*'核心假设'!J21-(('核心假设'!J17*E$6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329.0526719999999</x:v>
      </x:c>
      <x:c r="F11" s="34" t="n">
        <x:f>((('核心假设'!J29*'核心假设'!J30+(('核心假设'!J6*$A11*'核心假设'!J8*'核心假设'!J9)*'核心假设'!J10)*'核心假设'!J13+(('核心假设'!J6*$A11*'核心假设'!J8*'核心假设'!J9)*'核心假设'!J11*'核心假设'!J12)*'核心假设'!J14+(('核心假设'!J17*F$6*'核心假设'!J19+'核心假设'!J20)*(1-'核心假设'!J22))*'核心假设'!J21+('核心假设'!J24*'核心假设'!J25)*'核心假设'!J26)-('核心假设'!J29+(('核心假设'!J6*$A11*'核心假设'!J8*'核心假设'!J9)*'核心假设'!J10)+(('核心假设'!J6*$A11*'核心假设'!J8*'核心假设'!J9)*'核心假设'!J11*'核心假设'!J12)+(('核心假设'!J17*F$6*'核心假设'!J19+'核心假设'!J20)*(1-'核心假设'!J22))+('核心假设'!J24*'核心假设'!J25))*('核心假设'!J31+'核心假设'!J32+'核心假设'!J33+'核心假设'!J34)-'核心假设'!J35+'核心假设'!J36)-MAX(0,(('核心假设'!J29*'核心假设'!J30+(('核心假设'!J6*$A11*'核心假设'!J8*'核心假设'!J9)*'核心假设'!J10)*'核心假设'!J13+(('核心假设'!J6*$A11*'核心假设'!J8*'核心假设'!J9)*'核心假设'!J11*'核心假设'!J12)*'核心假设'!J14+(('核心假设'!J17*F$6*'核心假设'!J19+'核心假设'!J20)*(1-'核心假设'!J22))*'核心假设'!J21+('核心假设'!J24*'核心假设'!J25)*'核心假设'!J26)-('核心假设'!J29+(('核心假设'!J6*$A11*'核心假设'!J8*'核心假设'!J9)*'核心假设'!J10)+(('核心假设'!J6*$A11*'核心假设'!J8*'核心假设'!J9)*'核心假设'!J11*'核心假设'!J12)+(('核心假设'!J17*F$6*'核心假设'!J19+'核心假设'!J20)*(1-'核心假设'!J22))+('核心假设'!J24*'核心假设'!J25))*('核心假设'!J31+'核心假设'!J32+'核心假设'!J33+'核心假设'!J34)-'核心假设'!J35+'核心假设'!J36)*'核心假设'!J37))-((((('核心假设'!J6*$A11*'核心假设'!J8*'核心假设'!J9)*'核心假设'!J10)*'核心假设'!J13-(('核心假设'!J6*$A11*'核心假设'!J8*'核心假设'!J9)*'核心假设'!J10)*('核心假设'!J31+'核心假设'!J32+'核心假设'!J33+'核心假设'!J34))-MAX(0,((('核心假设'!J6*$A11*'核心假设'!J8*'核心假设'!J9)*'核心假设'!J10)*'核心假设'!J13-(('核心假设'!J6*$A11*'核心假设'!J8*'核心假设'!J9)*'核心假设'!J10)*('核心假设'!J31+'核心假设'!J32+'核心假设'!J33+'核心假设'!J34))*'核心假设'!J37))*'核心假设'!J39+(((('核心假设'!J17*F$6*'核心假设'!J19+'核心假设'!J20)*(1-'核心假设'!J22))*'核心假设'!J21-(('核心假设'!J17*F$6*'核心假设'!J19+'核心假设'!J20)*(1-'核心假设'!J22))*('核心假设'!J31+'核心假设'!J32+'核心假设'!J33+'核心假设'!J34))-MAX(0,((('核心假设'!J17*F$6*'核心假设'!J19+'核心假设'!J20)*(1-'核心假设'!J22))*'核心假设'!J21-(('核心假设'!J17*F$6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343.2510719999999</x:v>
      </x:c>
      <x:c r="G11" s="34" t="n">
        <x:f>((('核心假设'!J29*'核心假设'!J30+(('核心假设'!J6*$A11*'核心假设'!J8*'核心假设'!J9)*'核心假设'!J10)*'核心假设'!J13+(('核心假设'!J6*$A11*'核心假设'!J8*'核心假设'!J9)*'核心假设'!J11*'核心假设'!J12)*'核心假设'!J14+(('核心假设'!J17*G$6*'核心假设'!J19+'核心假设'!J20)*(1-'核心假设'!J22))*'核心假设'!J21+('核心假设'!J24*'核心假设'!J25)*'核心假设'!J26)-('核心假设'!J29+(('核心假设'!J6*$A11*'核心假设'!J8*'核心假设'!J9)*'核心假设'!J10)+(('核心假设'!J6*$A11*'核心假设'!J8*'核心假设'!J9)*'核心假设'!J11*'核心假设'!J12)+(('核心假设'!J17*G$6*'核心假设'!J19+'核心假设'!J20)*(1-'核心假设'!J22))+('核心假设'!J24*'核心假设'!J25))*('核心假设'!J31+'核心假设'!J32+'核心假设'!J33+'核心假设'!J34)-'核心假设'!J35+'核心假设'!J36)-MAX(0,(('核心假设'!J29*'核心假设'!J30+(('核心假设'!J6*$A11*'核心假设'!J8*'核心假设'!J9)*'核心假设'!J10)*'核心假设'!J13+(('核心假设'!J6*$A11*'核心假设'!J8*'核心假设'!J9)*'核心假设'!J11*'核心假设'!J12)*'核心假设'!J14+(('核心假设'!J17*G$6*'核心假设'!J19+'核心假设'!J20)*(1-'核心假设'!J22))*'核心假设'!J21+('核心假设'!J24*'核心假设'!J25)*'核心假设'!J26)-('核心假设'!J29+(('核心假设'!J6*$A11*'核心假设'!J8*'核心假设'!J9)*'核心假设'!J10)+(('核心假设'!J6*$A11*'核心假设'!J8*'核心假设'!J9)*'核心假设'!J11*'核心假设'!J12)+(('核心假设'!J17*G$6*'核心假设'!J19+'核心假设'!J20)*(1-'核心假设'!J22))+('核心假设'!J24*'核心假设'!J25))*('核心假设'!J31+'核心假设'!J32+'核心假设'!J33+'核心假设'!J34)-'核心假设'!J35+'核心假设'!J36)*'核心假设'!J37))-((((('核心假设'!J6*$A11*'核心假设'!J8*'核心假设'!J9)*'核心假设'!J10)*'核心假设'!J13-(('核心假设'!J6*$A11*'核心假设'!J8*'核心假设'!J9)*'核心假设'!J10)*('核心假设'!J31+'核心假设'!J32+'核心假设'!J33+'核心假设'!J34))-MAX(0,((('核心假设'!J6*$A11*'核心假设'!J8*'核心假设'!J9)*'核心假设'!J10)*'核心假设'!J13-(('核心假设'!J6*$A11*'核心假设'!J8*'核心假设'!J9)*'核心假设'!J10)*('核心假设'!J31+'核心假设'!J32+'核心假设'!J33+'核心假设'!J34))*'核心假设'!J37))*'核心假设'!J39+(((('核心假设'!J17*G$6*'核心假设'!J19+'核心假设'!J20)*(1-'核心假设'!J22))*'核心假设'!J21-(('核心假设'!J17*G$6*'核心假设'!J19+'核心假设'!J20)*(1-'核心假设'!J22))*('核心假设'!J31+'核心假设'!J32+'核心假设'!J33+'核心假设'!J34))-MAX(0,((('核心假设'!J17*G$6*'核心假设'!J19+'核心假设'!J20)*(1-'核心假设'!J22))*'核心假设'!J21-(('核心假设'!J17*G$6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371.6478719999999</x:v>
      </x:c>
    </x:row>
    <x:row r="12">
      <x:c r="A12" s="139" t="n">
        <x:v>0.3</x:v>
      </x:c>
      <x:c r="B12" s="34" t="n">
        <x:f>((('核心假设'!J29*'核心假设'!J30+(('核心假设'!J6*$A12*'核心假设'!J8*'核心假设'!J9)*'核心假设'!J10)*'核心假设'!J13+(('核心假设'!J6*$A12*'核心假设'!J8*'核心假设'!J9)*'核心假设'!J11*'核心假设'!J12)*'核心假设'!J14+(('核心假设'!J17*B$6*'核心假设'!J19+'核心假设'!J20)*(1-'核心假设'!J22))*'核心假设'!J21+('核心假设'!J24*'核心假设'!J25)*'核心假设'!J26)-('核心假设'!J29+(('核心假设'!J6*$A12*'核心假设'!J8*'核心假设'!J9)*'核心假设'!J10)+(('核心假设'!J6*$A12*'核心假设'!J8*'核心假设'!J9)*'核心假设'!J11*'核心假设'!J12)+(('核心假设'!J17*B$6*'核心假设'!J19+'核心假设'!J20)*(1-'核心假设'!J22))+('核心假设'!J24*'核心假设'!J25))*('核心假设'!J31+'核心假设'!J32+'核心假设'!J33+'核心假设'!J34)-'核心假设'!J35+'核心假设'!J36)-MAX(0,(('核心假设'!J29*'核心假设'!J30+(('核心假设'!J6*$A12*'核心假设'!J8*'核心假设'!J9)*'核心假设'!J10)*'核心假设'!J13+(('核心假设'!J6*$A12*'核心假设'!J8*'核心假设'!J9)*'核心假设'!J11*'核心假设'!J12)*'核心假设'!J14+(('核心假设'!J17*B$6*'核心假设'!J19+'核心假设'!J20)*(1-'核心假设'!J22))*'核心假设'!J21+('核心假设'!J24*'核心假设'!J25)*'核心假设'!J26)-('核心假设'!J29+(('核心假设'!J6*$A12*'核心假设'!J8*'核心假设'!J9)*'核心假设'!J10)+(('核心假设'!J6*$A12*'核心假设'!J8*'核心假设'!J9)*'核心假设'!J11*'核心假设'!J12)+(('核心假设'!J17*B$6*'核心假设'!J19+'核心假设'!J20)*(1-'核心假设'!J22))+('核心假设'!J24*'核心假设'!J25))*('核心假设'!J31+'核心假设'!J32+'核心假设'!J33+'核心假设'!J34)-'核心假设'!J35+'核心假设'!J36)*'核心假设'!J37))-((((('核心假设'!J6*$A12*'核心假设'!J8*'核心假设'!J9)*'核心假设'!J10)*'核心假设'!J13-(('核心假设'!J6*$A12*'核心假设'!J8*'核心假设'!J9)*'核心假设'!J10)*('核心假设'!J31+'核心假设'!J32+'核心假设'!J33+'核心假设'!J34))-MAX(0,((('核心假设'!J6*$A12*'核心假设'!J8*'核心假设'!J9)*'核心假设'!J10)*'核心假设'!J13-(('核心假设'!J6*$A12*'核心假设'!J8*'核心假设'!J9)*'核心假设'!J10)*('核心假设'!J31+'核心假设'!J32+'核心假设'!J33+'核心假设'!J34))*'核心假设'!J37))*'核心假设'!J39+(((('核心假设'!J17*B$6*'核心假设'!J19+'核心假设'!J20)*(1-'核心假设'!J22))*'核心假设'!J21-(('核心假设'!J17*B$6*'核心假设'!J19+'核心假设'!J20)*(1-'核心假设'!J22))*('核心假设'!J31+'核心假设'!J32+'核心假设'!J33+'核心假设'!J34))-MAX(0,((('核心假设'!J17*B$6*'核心假设'!J19+'核心假设'!J20)*(1-'核心假设'!J22))*'核心假设'!J21-(('核心假设'!J17*B$6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329.4008064</x:v>
      </x:c>
      <x:c r="C12" s="34" t="n">
        <x:f>((('核心假设'!J29*'核心假设'!J30+(('核心假设'!J6*$A12*'核心假设'!J8*'核心假设'!J9)*'核心假设'!J10)*'核心假设'!J13+(('核心假设'!J6*$A12*'核心假设'!J8*'核心假设'!J9)*'核心假设'!J11*'核心假设'!J12)*'核心假设'!J14+(('核心假设'!J17*C$6*'核心假设'!J19+'核心假设'!J20)*(1-'核心假设'!J22))*'核心假设'!J21+('核心假设'!J24*'核心假设'!J25)*'核心假设'!J26)-('核心假设'!J29+(('核心假设'!J6*$A12*'核心假设'!J8*'核心假设'!J9)*'核心假设'!J10)+(('核心假设'!J6*$A12*'核心假设'!J8*'核心假设'!J9)*'核心假设'!J11*'核心假设'!J12)+(('核心假设'!J17*C$6*'核心假设'!J19+'核心假设'!J20)*(1-'核心假设'!J22))+('核心假设'!J24*'核心假设'!J25))*('核心假设'!J31+'核心假设'!J32+'核心假设'!J33+'核心假设'!J34)-'核心假设'!J35+'核心假设'!J36)-MAX(0,(('核心假设'!J29*'核心假设'!J30+(('核心假设'!J6*$A12*'核心假设'!J8*'核心假设'!J9)*'核心假设'!J10)*'核心假设'!J13+(('核心假设'!J6*$A12*'核心假设'!J8*'核心假设'!J9)*'核心假设'!J11*'核心假设'!J12)*'核心假设'!J14+(('核心假设'!J17*C$6*'核心假设'!J19+'核心假设'!J20)*(1-'核心假设'!J22))*'核心假设'!J21+('核心假设'!J24*'核心假设'!J25)*'核心假设'!J26)-('核心假设'!J29+(('核心假设'!J6*$A12*'核心假设'!J8*'核心假设'!J9)*'核心假设'!J10)+(('核心假设'!J6*$A12*'核心假设'!J8*'核心假设'!J9)*'核心假设'!J11*'核心假设'!J12)+(('核心假设'!J17*C$6*'核心假设'!J19+'核心假设'!J20)*(1-'核心假设'!J22))+('核心假设'!J24*'核心假设'!J25))*('核心假设'!J31+'核心假设'!J32+'核心假设'!J33+'核心假设'!J34)-'核心假设'!J35+'核心假设'!J36)*'核心假设'!J37))-((((('核心假设'!J6*$A12*'核心假设'!J8*'核心假设'!J9)*'核心假设'!J10)*'核心假设'!J13-(('核心假设'!J6*$A12*'核心假设'!J8*'核心假设'!J9)*'核心假设'!J10)*('核心假设'!J31+'核心假设'!J32+'核心假设'!J33+'核心假设'!J34))-MAX(0,((('核心假设'!J6*$A12*'核心假设'!J8*'核心假设'!J9)*'核心假设'!J10)*'核心假设'!J13-(('核心假设'!J6*$A12*'核心假设'!J8*'核心假设'!J9)*'核心假设'!J10)*('核心假设'!J31+'核心假设'!J32+'核心假设'!J33+'核心假设'!J34))*'核心假设'!J37))*'核心假设'!J39+(((('核心假设'!J17*C$6*'核心假设'!J19+'核心假设'!J20)*(1-'核心假设'!J22))*'核心假设'!J21-(('核心假设'!J17*C$6*'核心假设'!J19+'核心假设'!J20)*(1-'核心假设'!J22))*('核心假设'!J31+'核心假设'!J32+'核心假设'!J33+'核心假设'!J34))-MAX(0,((('核心假设'!J17*C$6*'核心假设'!J19+'核心假设'!J20)*(1-'核心假设'!J22))*'核心假设'!J21-(('核心假设'!J17*C$6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336.50000639999996</x:v>
      </x:c>
      <x:c r="D12" s="34" t="n">
        <x:f>((('核心假设'!J29*'核心假设'!J30+(('核心假设'!J6*$A12*'核心假设'!J8*'核心假设'!J9)*'核心假设'!J10)*'核心假设'!J13+(('核心假设'!J6*$A12*'核心假设'!J8*'核心假设'!J9)*'核心假设'!J11*'核心假设'!J12)*'核心假设'!J14+(('核心假设'!J17*D$6*'核心假设'!J19+'核心假设'!J20)*(1-'核心假设'!J22))*'核心假设'!J21+('核心假设'!J24*'核心假设'!J25)*'核心假设'!J26)-('核心假设'!J29+(('核心假设'!J6*$A12*'核心假设'!J8*'核心假设'!J9)*'核心假设'!J10)+(('核心假设'!J6*$A12*'核心假设'!J8*'核心假设'!J9)*'核心假设'!J11*'核心假设'!J12)+(('核心假设'!J17*D$6*'核心假设'!J19+'核心假设'!J20)*(1-'核心假设'!J22))+('核心假设'!J24*'核心假设'!J25))*('核心假设'!J31+'核心假设'!J32+'核心假设'!J33+'核心假设'!J34)-'核心假设'!J35+'核心假设'!J36)-MAX(0,(('核心假设'!J29*'核心假设'!J30+(('核心假设'!J6*$A12*'核心假设'!J8*'核心假设'!J9)*'核心假设'!J10)*'核心假设'!J13+(('核心假设'!J6*$A12*'核心假设'!J8*'核心假设'!J9)*'核心假设'!J11*'核心假设'!J12)*'核心假设'!J14+(('核心假设'!J17*D$6*'核心假设'!J19+'核心假设'!J20)*(1-'核心假设'!J22))*'核心假设'!J21+('核心假设'!J24*'核心假设'!J25)*'核心假设'!J26)-('核心假设'!J29+(('核心假设'!J6*$A12*'核心假设'!J8*'核心假设'!J9)*'核心假设'!J10)+(('核心假设'!J6*$A12*'核心假设'!J8*'核心假设'!J9)*'核心假设'!J11*'核心假设'!J12)+(('核心假设'!J17*D$6*'核心假设'!J19+'核心假设'!J20)*(1-'核心假设'!J22))+('核心假设'!J24*'核心假设'!J25))*('核心假设'!J31+'核心假设'!J32+'核心假设'!J33+'核心假设'!J34)-'核心假设'!J35+'核心假设'!J36)*'核心假设'!J37))-((((('核心假设'!J6*$A12*'核心假设'!J8*'核心假设'!J9)*'核心假设'!J10)*'核心假设'!J13-(('核心假设'!J6*$A12*'核心假设'!J8*'核心假设'!J9)*'核心假设'!J10)*('核心假设'!J31+'核心假设'!J32+'核心假设'!J33+'核心假设'!J34))-MAX(0,((('核心假设'!J6*$A12*'核心假设'!J8*'核心假设'!J9)*'核心假设'!J10)*'核心假设'!J13-(('核心假设'!J6*$A12*'核心假设'!J8*'核心假设'!J9)*'核心假设'!J10)*('核心假设'!J31+'核心假设'!J32+'核心假设'!J33+'核心假设'!J34))*'核心假设'!J37))*'核心假设'!J39+(((('核心假设'!J17*D$6*'核心假设'!J19+'核心假设'!J20)*(1-'核心假设'!J22))*'核心假设'!J21-(('核心假设'!J17*D$6*'核心假设'!J19+'核心假设'!J20)*(1-'核心假设'!J22))*('核心假设'!J31+'核心假设'!J32+'核心假设'!J33+'核心假设'!J34))-MAX(0,((('核心假设'!J17*D$6*'核心假设'!J19+'核心假设'!J20)*(1-'核心假设'!J22))*'核心假设'!J21-(('核心假设'!J17*D$6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343.59920640000007</x:v>
      </x:c>
      <x:c r="E12" s="34" t="n">
        <x:f>((('核心假设'!J29*'核心假设'!J30+(('核心假设'!J6*$A12*'核心假设'!J8*'核心假设'!J9)*'核心假设'!J10)*'核心假设'!J13+(('核心假设'!J6*$A12*'核心假设'!J8*'核心假设'!J9)*'核心假设'!J11*'核心假设'!J12)*'核心假设'!J14+(('核心假设'!J17*E$6*'核心假设'!J19+'核心假设'!J20)*(1-'核心假设'!J22))*'核心假设'!J21+('核心假设'!J24*'核心假设'!J25)*'核心假设'!J26)-('核心假设'!J29+(('核心假设'!J6*$A12*'核心假设'!J8*'核心假设'!J9)*'核心假设'!J10)+(('核心假设'!J6*$A12*'核心假设'!J8*'核心假设'!J9)*'核心假设'!J11*'核心假设'!J12)+(('核心假设'!J17*E$6*'核心假设'!J19+'核心假设'!J20)*(1-'核心假设'!J22))+('核心假设'!J24*'核心假设'!J25))*('核心假设'!J31+'核心假设'!J32+'核心假设'!J33+'核心假设'!J34)-'核心假设'!J35+'核心假设'!J36)-MAX(0,(('核心假设'!J29*'核心假设'!J30+(('核心假设'!J6*$A12*'核心假设'!J8*'核心假设'!J9)*'核心假设'!J10)*'核心假设'!J13+(('核心假设'!J6*$A12*'核心假设'!J8*'核心假设'!J9)*'核心假设'!J11*'核心假设'!J12)*'核心假设'!J14+(('核心假设'!J17*E$6*'核心假设'!J19+'核心假设'!J20)*(1-'核心假设'!J22))*'核心假设'!J21+('核心假设'!J24*'核心假设'!J25)*'核心假设'!J26)-('核心假设'!J29+(('核心假设'!J6*$A12*'核心假设'!J8*'核心假设'!J9)*'核心假设'!J10)+(('核心假设'!J6*$A12*'核心假设'!J8*'核心假设'!J9)*'核心假设'!J11*'核心假设'!J12)+(('核心假设'!J17*E$6*'核心假设'!J19+'核心假设'!J20)*(1-'核心假设'!J22))+('核心假设'!J24*'核心假设'!J25))*('核心假设'!J31+'核心假设'!J32+'核心假设'!J33+'核心假设'!J34)-'核心假设'!J35+'核心假设'!J36)*'核心假设'!J37))-((((('核心假设'!J6*$A12*'核心假设'!J8*'核心假设'!J9)*'核心假设'!J10)*'核心假设'!J13-(('核心假设'!J6*$A12*'核心假设'!J8*'核心假设'!J9)*'核心假设'!J10)*('核心假设'!J31+'核心假设'!J32+'核心假设'!J33+'核心假设'!J34))-MAX(0,((('核心假设'!J6*$A12*'核心假设'!J8*'核心假设'!J9)*'核心假设'!J10)*'核心假设'!J13-(('核心假设'!J6*$A12*'核心假设'!J8*'核心假设'!J9)*'核心假设'!J10)*('核心假设'!J31+'核心假设'!J32+'核心假设'!J33+'核心假设'!J34))*'核心假设'!J37))*'核心假设'!J39+(((('核心假设'!J17*E$6*'核心假设'!J19+'核心假设'!J20)*(1-'核心假设'!J22))*'核心假设'!J21-(('核心假设'!J17*E$6*'核心假设'!J19+'核心假设'!J20)*(1-'核心假设'!J22))*('核心假设'!J31+'核心假设'!J32+'核心假设'!J33+'核心假设'!J34))-MAX(0,((('核心假设'!J17*E$6*'核心假设'!J19+'核心假设'!J20)*(1-'核心假设'!J22))*'核心假设'!J21-(('核心假设'!J17*E$6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357.7976064</x:v>
      </x:c>
      <x:c r="F12" s="34" t="n">
        <x:f>((('核心假设'!J29*'核心假设'!J30+(('核心假设'!J6*$A12*'核心假设'!J8*'核心假设'!J9)*'核心假设'!J10)*'核心假设'!J13+(('核心假设'!J6*$A12*'核心假设'!J8*'核心假设'!J9)*'核心假设'!J11*'核心假设'!J12)*'核心假设'!J14+(('核心假设'!J17*F$6*'核心假设'!J19+'核心假设'!J20)*(1-'核心假设'!J22))*'核心假设'!J21+('核心假设'!J24*'核心假设'!J25)*'核心假设'!J26)-('核心假设'!J29+(('核心假设'!J6*$A12*'核心假设'!J8*'核心假设'!J9)*'核心假设'!J10)+(('核心假设'!J6*$A12*'核心假设'!J8*'核心假设'!J9)*'核心假设'!J11*'核心假设'!J12)+(('核心假设'!J17*F$6*'核心假设'!J19+'核心假设'!J20)*(1-'核心假设'!J22))+('核心假设'!J24*'核心假设'!J25))*('核心假设'!J31+'核心假设'!J32+'核心假设'!J33+'核心假设'!J34)-'核心假设'!J35+'核心假设'!J36)-MAX(0,(('核心假设'!J29*'核心假设'!J30+(('核心假设'!J6*$A12*'核心假设'!J8*'核心假设'!J9)*'核心假设'!J10)*'核心假设'!J13+(('核心假设'!J6*$A12*'核心假设'!J8*'核心假设'!J9)*'核心假设'!J11*'核心假设'!J12)*'核心假设'!J14+(('核心假设'!J17*F$6*'核心假设'!J19+'核心假设'!J20)*(1-'核心假设'!J22))*'核心假设'!J21+('核心假设'!J24*'核心假设'!J25)*'核心假设'!J26)-('核心假设'!J29+(('核心假设'!J6*$A12*'核心假设'!J8*'核心假设'!J9)*'核心假设'!J10)+(('核心假设'!J6*$A12*'核心假设'!J8*'核心假设'!J9)*'核心假设'!J11*'核心假设'!J12)+(('核心假设'!J17*F$6*'核心假设'!J19+'核心假设'!J20)*(1-'核心假设'!J22))+('核心假设'!J24*'核心假设'!J25))*('核心假设'!J31+'核心假设'!J32+'核心假设'!J33+'核心假设'!J34)-'核心假设'!J35+'核心假设'!J36)*'核心假设'!J37))-((((('核心假设'!J6*$A12*'核心假设'!J8*'核心假设'!J9)*'核心假设'!J10)*'核心假设'!J13-(('核心假设'!J6*$A12*'核心假设'!J8*'核心假设'!J9)*'核心假设'!J10)*('核心假设'!J31+'核心假设'!J32+'核心假设'!J33+'核心假设'!J34))-MAX(0,((('核心假设'!J6*$A12*'核心假设'!J8*'核心假设'!J9)*'核心假设'!J10)*'核心假设'!J13-(('核心假设'!J6*$A12*'核心假设'!J8*'核心假设'!J9)*'核心假设'!J10)*('核心假设'!J31+'核心假设'!J32+'核心假设'!J33+'核心假设'!J34))*'核心假设'!J37))*'核心假设'!J39+(((('核心假设'!J17*F$6*'核心假设'!J19+'核心假设'!J20)*(1-'核心假设'!J22))*'核心假设'!J21-(('核心假设'!J17*F$6*'核心假设'!J19+'核心假设'!J20)*(1-'核心假设'!J22))*('核心假设'!J31+'核心假设'!J32+'核心假设'!J33+'核心假设'!J34))-MAX(0,((('核心假设'!J17*F$6*'核心假设'!J19+'核心假设'!J20)*(1-'核心假设'!J22))*'核心假设'!J21-(('核心假设'!J17*F$6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371.9960064</x:v>
      </x:c>
      <x:c r="G12" s="34" t="n">
        <x:f>((('核心假设'!J29*'核心假设'!J30+(('核心假设'!J6*$A12*'核心假设'!J8*'核心假设'!J9)*'核心假设'!J10)*'核心假设'!J13+(('核心假设'!J6*$A12*'核心假设'!J8*'核心假设'!J9)*'核心假设'!J11*'核心假设'!J12)*'核心假设'!J14+(('核心假设'!J17*G$6*'核心假设'!J19+'核心假设'!J20)*(1-'核心假设'!J22))*'核心假设'!J21+('核心假设'!J24*'核心假设'!J25)*'核心假设'!J26)-('核心假设'!J29+(('核心假设'!J6*$A12*'核心假设'!J8*'核心假设'!J9)*'核心假设'!J10)+(('核心假设'!J6*$A12*'核心假设'!J8*'核心假设'!J9)*'核心假设'!J11*'核心假设'!J12)+(('核心假设'!J17*G$6*'核心假设'!J19+'核心假设'!J20)*(1-'核心假设'!J22))+('核心假设'!J24*'核心假设'!J25))*('核心假设'!J31+'核心假设'!J32+'核心假设'!J33+'核心假设'!J34)-'核心假设'!J35+'核心假设'!J36)-MAX(0,(('核心假设'!J29*'核心假设'!J30+(('核心假设'!J6*$A12*'核心假设'!J8*'核心假设'!J9)*'核心假设'!J10)*'核心假设'!J13+(('核心假设'!J6*$A12*'核心假设'!J8*'核心假设'!J9)*'核心假设'!J11*'核心假设'!J12)*'核心假设'!J14+(('核心假设'!J17*G$6*'核心假设'!J19+'核心假设'!J20)*(1-'核心假设'!J22))*'核心假设'!J21+('核心假设'!J24*'核心假设'!J25)*'核心假设'!J26)-('核心假设'!J29+(('核心假设'!J6*$A12*'核心假设'!J8*'核心假设'!J9)*'核心假设'!J10)+(('核心假设'!J6*$A12*'核心假设'!J8*'核心假设'!J9)*'核心假设'!J11*'核心假设'!J12)+(('核心假设'!J17*G$6*'核心假设'!J19+'核心假设'!J20)*(1-'核心假设'!J22))+('核心假设'!J24*'核心假设'!J25))*('核心假设'!J31+'核心假设'!J32+'核心假设'!J33+'核心假设'!J34)-'核心假设'!J35+'核心假设'!J36)*'核心假设'!J37))-((((('核心假设'!J6*$A12*'核心假设'!J8*'核心假设'!J9)*'核心假设'!J10)*'核心假设'!J13-(('核心假设'!J6*$A12*'核心假设'!J8*'核心假设'!J9)*'核心假设'!J10)*('核心假设'!J31+'核心假设'!J32+'核心假设'!J33+'核心假设'!J34))-MAX(0,((('核心假设'!J6*$A12*'核心假设'!J8*'核心假设'!J9)*'核心假设'!J10)*'核心假设'!J13-(('核心假设'!J6*$A12*'核心假设'!J8*'核心假设'!J9)*'核心假设'!J10)*('核心假设'!J31+'核心假设'!J32+'核心假设'!J33+'核心假设'!J34))*'核心假设'!J37))*'核心假设'!J39+(((('核心假设'!J17*G$6*'核心假设'!J19+'核心假设'!J20)*(1-'核心假设'!J22))*'核心假设'!J21-(('核心假设'!J17*G$6*'核心假设'!J19+'核心假设'!J20)*(1-'核心假设'!J22))*('核心假设'!J31+'核心假设'!J32+'核心假设'!J33+'核心假设'!J34))-MAX(0,((('核心假设'!J17*G$6*'核心假设'!J19+'核心假设'!J20)*(1-'核心假设'!J22))*'核心假设'!J21-(('核心假设'!J17*G$6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400.3928063999999</x:v>
      </x:c>
    </x:row>
    <x:row r="13">
      <x:c r="A13" s="139" t="n">
        <x:v>0.35</x:v>
      </x:c>
      <x:c r="B13" s="34" t="n">
        <x:f>((('核心假设'!J29*'核心假设'!J30+(('核心假设'!J6*$A13*'核心假设'!J8*'核心假设'!J9)*'核心假设'!J10)*'核心假设'!J13+(('核心假设'!J6*$A13*'核心假设'!J8*'核心假设'!J9)*'核心假设'!J11*'核心假设'!J12)*'核心假设'!J14+(('核心假设'!J17*B$6*'核心假设'!J19+'核心假设'!J20)*(1-'核心假设'!J22))*'核心假设'!J21+('核心假设'!J24*'核心假设'!J25)*'核心假设'!J26)-('核心假设'!J29+(('核心假设'!J6*$A13*'核心假设'!J8*'核心假设'!J9)*'核心假设'!J10)+(('核心假设'!J6*$A13*'核心假设'!J8*'核心假设'!J9)*'核心假设'!J11*'核心假设'!J12)+(('核心假设'!J17*B$6*'核心假设'!J19+'核心假设'!J20)*(1-'核心假设'!J22))+('核心假设'!J24*'核心假设'!J25))*('核心假设'!J31+'核心假设'!J32+'核心假设'!J33+'核心假设'!J34)-'核心假设'!J35+'核心假设'!J36)-MAX(0,(('核心假设'!J29*'核心假设'!J30+(('核心假设'!J6*$A13*'核心假设'!J8*'核心假设'!J9)*'核心假设'!J10)*'核心假设'!J13+(('核心假设'!J6*$A13*'核心假设'!J8*'核心假设'!J9)*'核心假设'!J11*'核心假设'!J12)*'核心假设'!J14+(('核心假设'!J17*B$6*'核心假设'!J19+'核心假设'!J20)*(1-'核心假设'!J22))*'核心假设'!J21+('核心假设'!J24*'核心假设'!J25)*'核心假设'!J26)-('核心假设'!J29+(('核心假设'!J6*$A13*'核心假设'!J8*'核心假设'!J9)*'核心假设'!J10)+(('核心假设'!J6*$A13*'核心假设'!J8*'核心假设'!J9)*'核心假设'!J11*'核心假设'!J12)+(('核心假设'!J17*B$6*'核心假设'!J19+'核心假设'!J20)*(1-'核心假设'!J22))+('核心假设'!J24*'核心假设'!J25))*('核心假设'!J31+'核心假设'!J32+'核心假设'!J33+'核心假设'!J34)-'核心假设'!J35+'核心假设'!J36)*'核心假设'!J37))-((((('核心假设'!J6*$A13*'核心假设'!J8*'核心假设'!J9)*'核心假设'!J10)*'核心假设'!J13-(('核心假设'!J6*$A13*'核心假设'!J8*'核心假设'!J9)*'核心假设'!J10)*('核心假设'!J31+'核心假设'!J32+'核心假设'!J33+'核心假设'!J34))-MAX(0,((('核心假设'!J6*$A13*'核心假设'!J8*'核心假设'!J9)*'核心假设'!J10)*'核心假设'!J13-(('核心假设'!J6*$A13*'核心假设'!J8*'核心假设'!J9)*'核心假设'!J10)*('核心假设'!J31+'核心假设'!J32+'核心假设'!J33+'核心假设'!J34))*'核心假设'!J37))*'核心假设'!J39+(((('核心假设'!J17*B$6*'核心假设'!J19+'核心假设'!J20)*(1-'核心假设'!J22))*'核心假设'!J21-(('核心假设'!J17*B$6*'核心假设'!J19+'核心假设'!J20)*(1-'核心假设'!J22))*('核心假设'!J31+'核心假设'!J32+'核心假设'!J33+'核心假设'!J34))-MAX(0,((('核心假设'!J17*B$6*'核心假设'!J19+'核心假设'!J20)*(1-'核心假设'!J22))*'核心假设'!J21-(('核心假设'!J17*B$6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358.14574079999994</x:v>
      </x:c>
      <x:c r="C13" s="34" t="n">
        <x:f>((('核心假设'!J29*'核心假设'!J30+(('核心假设'!J6*$A13*'核心假设'!J8*'核心假设'!J9)*'核心假设'!J10)*'核心假设'!J13+(('核心假设'!J6*$A13*'核心假设'!J8*'核心假设'!J9)*'核心假设'!J11*'核心假设'!J12)*'核心假设'!J14+(('核心假设'!J17*C$6*'核心假设'!J19+'核心假设'!J20)*(1-'核心假设'!J22))*'核心假设'!J21+('核心假设'!J24*'核心假设'!J25)*'核心假设'!J26)-('核心假设'!J29+(('核心假设'!J6*$A13*'核心假设'!J8*'核心假设'!J9)*'核心假设'!J10)+(('核心假设'!J6*$A13*'核心假设'!J8*'核心假设'!J9)*'核心假设'!J11*'核心假设'!J12)+(('核心假设'!J17*C$6*'核心假设'!J19+'核心假设'!J20)*(1-'核心假设'!J22))+('核心假设'!J24*'核心假设'!J25))*('核心假设'!J31+'核心假设'!J32+'核心假设'!J33+'核心假设'!J34)-'核心假设'!J35+'核心假设'!J36)-MAX(0,(('核心假设'!J29*'核心假设'!J30+(('核心假设'!J6*$A13*'核心假设'!J8*'核心假设'!J9)*'核心假设'!J10)*'核心假设'!J13+(('核心假设'!J6*$A13*'核心假设'!J8*'核心假设'!J9)*'核心假设'!J11*'核心假设'!J12)*'核心假设'!J14+(('核心假设'!J17*C$6*'核心假设'!J19+'核心假设'!J20)*(1-'核心假设'!J22))*'核心假设'!J21+('核心假设'!J24*'核心假设'!J25)*'核心假设'!J26)-('核心假设'!J29+(('核心假设'!J6*$A13*'核心假设'!J8*'核心假设'!J9)*'核心假设'!J10)+(('核心假设'!J6*$A13*'核心假设'!J8*'核心假设'!J9)*'核心假设'!J11*'核心假设'!J12)+(('核心假设'!J17*C$6*'核心假设'!J19+'核心假设'!J20)*(1-'核心假设'!J22))+('核心假设'!J24*'核心假设'!J25))*('核心假设'!J31+'核心假设'!J32+'核心假设'!J33+'核心假设'!J34)-'核心假设'!J35+'核心假设'!J36)*'核心假设'!J37))-((((('核心假设'!J6*$A13*'核心假设'!J8*'核心假设'!J9)*'核心假设'!J10)*'核心假设'!J13-(('核心假设'!J6*$A13*'核心假设'!J8*'核心假设'!J9)*'核心假设'!J10)*('核心假设'!J31+'核心假设'!J32+'核心假设'!J33+'核心假设'!J34))-MAX(0,((('核心假设'!J6*$A13*'核心假设'!J8*'核心假设'!J9)*'核心假设'!J10)*'核心假设'!J13-(('核心假设'!J6*$A13*'核心假设'!J8*'核心假设'!J9)*'核心假设'!J10)*('核心假设'!J31+'核心假设'!J32+'核心假设'!J33+'核心假设'!J34))*'核心假设'!J37))*'核心假设'!J39+(((('核心假设'!J17*C$6*'核心假设'!J19+'核心假设'!J20)*(1-'核心假设'!J22))*'核心假设'!J21-(('核心假设'!J17*C$6*'核心假设'!J19+'核心假设'!J20)*(1-'核心假设'!J22))*('核心假设'!J31+'核心假设'!J32+'核心假设'!J33+'核心假设'!J34))-MAX(0,((('核心假设'!J17*C$6*'核心假设'!J19+'核心假设'!J20)*(1-'核心假设'!J22))*'核心假设'!J21-(('核心假设'!J17*C$6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365.24494079999994</x:v>
      </x:c>
      <x:c r="D13" s="34" t="n">
        <x:f>((('核心假设'!J29*'核心假设'!J30+(('核心假设'!J6*$A13*'核心假设'!J8*'核心假设'!J9)*'核心假设'!J10)*'核心假设'!J13+(('核心假设'!J6*$A13*'核心假设'!J8*'核心假设'!J9)*'核心假设'!J11*'核心假设'!J12)*'核心假设'!J14+(('核心假设'!J17*D$6*'核心假设'!J19+'核心假设'!J20)*(1-'核心假设'!J22))*'核心假设'!J21+('核心假设'!J24*'核心假设'!J25)*'核心假设'!J26)-('核心假设'!J29+(('核心假设'!J6*$A13*'核心假设'!J8*'核心假设'!J9)*'核心假设'!J10)+(('核心假设'!J6*$A13*'核心假设'!J8*'核心假设'!J9)*'核心假设'!J11*'核心假设'!J12)+(('核心假设'!J17*D$6*'核心假设'!J19+'核心假设'!J20)*(1-'核心假设'!J22))+('核心假设'!J24*'核心假设'!J25))*('核心假设'!J31+'核心假设'!J32+'核心假设'!J33+'核心假设'!J34)-'核心假设'!J35+'核心假设'!J36)-MAX(0,(('核心假设'!J29*'核心假设'!J30+(('核心假设'!J6*$A13*'核心假设'!J8*'核心假设'!J9)*'核心假设'!J10)*'核心假设'!J13+(('核心假设'!J6*$A13*'核心假设'!J8*'核心假设'!J9)*'核心假设'!J11*'核心假设'!J12)*'核心假设'!J14+(('核心假设'!J17*D$6*'核心假设'!J19+'核心假设'!J20)*(1-'核心假设'!J22))*'核心假设'!J21+('核心假设'!J24*'核心假设'!J25)*'核心假设'!J26)-('核心假设'!J29+(('核心假设'!J6*$A13*'核心假设'!J8*'核心假设'!J9)*'核心假设'!J10)+(('核心假设'!J6*$A13*'核心假设'!J8*'核心假设'!J9)*'核心假设'!J11*'核心假设'!J12)+(('核心假设'!J17*D$6*'核心假设'!J19+'核心假设'!J20)*(1-'核心假设'!J22))+('核心假设'!J24*'核心假设'!J25))*('核心假设'!J31+'核心假设'!J32+'核心假设'!J33+'核心假设'!J34)-'核心假设'!J35+'核心假设'!J36)*'核心假设'!J37))-((((('核心假设'!J6*$A13*'核心假设'!J8*'核心假设'!J9)*'核心假设'!J10)*'核心假设'!J13-(('核心假设'!J6*$A13*'核心假设'!J8*'核心假设'!J9)*'核心假设'!J10)*('核心假设'!J31+'核心假设'!J32+'核心假设'!J33+'核心假设'!J34))-MAX(0,((('核心假设'!J6*$A13*'核心假设'!J8*'核心假设'!J9)*'核心假设'!J10)*'核心假设'!J13-(('核心假设'!J6*$A13*'核心假设'!J8*'核心假设'!J9)*'核心假设'!J10)*('核心假设'!J31+'核心假设'!J32+'核心假设'!J33+'核心假设'!J34))*'核心假设'!J37))*'核心假设'!J39+(((('核心假设'!J17*D$6*'核心假设'!J19+'核心假设'!J20)*(1-'核心假设'!J22))*'核心假设'!J21-(('核心假设'!J17*D$6*'核心假设'!J19+'核心假设'!J20)*(1-'核心假设'!J22))*('核心假设'!J31+'核心假设'!J32+'核心假设'!J33+'核心假设'!J34))-MAX(0,((('核心假设'!J17*D$6*'核心假设'!J19+'核心假设'!J20)*(1-'核心假设'!J22))*'核心假设'!J21-(('核心假设'!J17*D$6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372.3441407999999</x:v>
      </x:c>
      <x:c r="E13" s="34" t="n">
        <x:f>((('核心假设'!J29*'核心假设'!J30+(('核心假设'!J6*$A13*'核心假设'!J8*'核心假设'!J9)*'核心假设'!J10)*'核心假设'!J13+(('核心假设'!J6*$A13*'核心假设'!J8*'核心假设'!J9)*'核心假设'!J11*'核心假设'!J12)*'核心假设'!J14+(('核心假设'!J17*E$6*'核心假设'!J19+'核心假设'!J20)*(1-'核心假设'!J22))*'核心假设'!J21+('核心假设'!J24*'核心假设'!J25)*'核心假设'!J26)-('核心假设'!J29+(('核心假设'!J6*$A13*'核心假设'!J8*'核心假设'!J9)*'核心假设'!J10)+(('核心假设'!J6*$A13*'核心假设'!J8*'核心假设'!J9)*'核心假设'!J11*'核心假设'!J12)+(('核心假设'!J17*E$6*'核心假设'!J19+'核心假设'!J20)*(1-'核心假设'!J22))+('核心假设'!J24*'核心假设'!J25))*('核心假设'!J31+'核心假设'!J32+'核心假设'!J33+'核心假设'!J34)-'核心假设'!J35+'核心假设'!J36)-MAX(0,(('核心假设'!J29*'核心假设'!J30+(('核心假设'!J6*$A13*'核心假设'!J8*'核心假设'!J9)*'核心假设'!J10)*'核心假设'!J13+(('核心假设'!J6*$A13*'核心假设'!J8*'核心假设'!J9)*'核心假设'!J11*'核心假设'!J12)*'核心假设'!J14+(('核心假设'!J17*E$6*'核心假设'!J19+'核心假设'!J20)*(1-'核心假设'!J22))*'核心假设'!J21+('核心假设'!J24*'核心假设'!J25)*'核心假设'!J26)-('核心假设'!J29+(('核心假设'!J6*$A13*'核心假设'!J8*'核心假设'!J9)*'核心假设'!J10)+(('核心假设'!J6*$A13*'核心假设'!J8*'核心假设'!J9)*'核心假设'!J11*'核心假设'!J12)+(('核心假设'!J17*E$6*'核心假设'!J19+'核心假设'!J20)*(1-'核心假设'!J22))+('核心假设'!J24*'核心假设'!J25))*('核心假设'!J31+'核心假设'!J32+'核心假设'!J33+'核心假设'!J34)-'核心假设'!J35+'核心假设'!J36)*'核心假设'!J37))-((((('核心假设'!J6*$A13*'核心假设'!J8*'核心假设'!J9)*'核心假设'!J10)*'核心假设'!J13-(('核心假设'!J6*$A13*'核心假设'!J8*'核心假设'!J9)*'核心假设'!J10)*('核心假设'!J31+'核心假设'!J32+'核心假设'!J33+'核心假设'!J34))-MAX(0,((('核心假设'!J6*$A13*'核心假设'!J8*'核心假设'!J9)*'核心假设'!J10)*'核心假设'!J13-(('核心假设'!J6*$A13*'核心假设'!J8*'核心假设'!J9)*'核心假设'!J10)*('核心假设'!J31+'核心假设'!J32+'核心假设'!J33+'核心假设'!J34))*'核心假设'!J37))*'核心假设'!J39+(((('核心假设'!J17*E$6*'核心假设'!J19+'核心假设'!J20)*(1-'核心假设'!J22))*'核心假设'!J21-(('核心假设'!J17*E$6*'核心假设'!J19+'核心假设'!J20)*(1-'核心假设'!J22))*('核心假设'!J31+'核心假设'!J32+'核心假设'!J33+'核心假设'!J34))-MAX(0,((('核心假设'!J17*E$6*'核心假设'!J19+'核心假设'!J20)*(1-'核心假设'!J22))*'核心假设'!J21-(('核心假设'!J17*E$6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386.5425408</x:v>
      </x:c>
      <x:c r="F13" s="34" t="n">
        <x:f>((('核心假设'!J29*'核心假设'!J30+(('核心假设'!J6*$A13*'核心假设'!J8*'核心假设'!J9)*'核心假设'!J10)*'核心假设'!J13+(('核心假设'!J6*$A13*'核心假设'!J8*'核心假设'!J9)*'核心假设'!J11*'核心假设'!J12)*'核心假设'!J14+(('核心假设'!J17*F$6*'核心假设'!J19+'核心假设'!J20)*(1-'核心假设'!J22))*'核心假设'!J21+('核心假设'!J24*'核心假设'!J25)*'核心假设'!J26)-('核心假设'!J29+(('核心假设'!J6*$A13*'核心假设'!J8*'核心假设'!J9)*'核心假设'!J10)+(('核心假设'!J6*$A13*'核心假设'!J8*'核心假设'!J9)*'核心假设'!J11*'核心假设'!J12)+(('核心假设'!J17*F$6*'核心假设'!J19+'核心假设'!J20)*(1-'核心假设'!J22))+('核心假设'!J24*'核心假设'!J25))*('核心假设'!J31+'核心假设'!J32+'核心假设'!J33+'核心假设'!J34)-'核心假设'!J35+'核心假设'!J36)-MAX(0,(('核心假设'!J29*'核心假设'!J30+(('核心假设'!J6*$A13*'核心假设'!J8*'核心假设'!J9)*'核心假设'!J10)*'核心假设'!J13+(('核心假设'!J6*$A13*'核心假设'!J8*'核心假设'!J9)*'核心假设'!J11*'核心假设'!J12)*'核心假设'!J14+(('核心假设'!J17*F$6*'核心假设'!J19+'核心假设'!J20)*(1-'核心假设'!J22))*'核心假设'!J21+('核心假设'!J24*'核心假设'!J25)*'核心假设'!J26)-('核心假设'!J29+(('核心假设'!J6*$A13*'核心假设'!J8*'核心假设'!J9)*'核心假设'!J10)+(('核心假设'!J6*$A13*'核心假设'!J8*'核心假设'!J9)*'核心假设'!J11*'核心假设'!J12)+(('核心假设'!J17*F$6*'核心假设'!J19+'核心假设'!J20)*(1-'核心假设'!J22))+('核心假设'!J24*'核心假设'!J25))*('核心假设'!J31+'核心假设'!J32+'核心假设'!J33+'核心假设'!J34)-'核心假设'!J35+'核心假设'!J36)*'核心假设'!J37))-((((('核心假设'!J6*$A13*'核心假设'!J8*'核心假设'!J9)*'核心假设'!J10)*'核心假设'!J13-(('核心假设'!J6*$A13*'核心假设'!J8*'核心假设'!J9)*'核心假设'!J10)*('核心假设'!J31+'核心假设'!J32+'核心假设'!J33+'核心假设'!J34))-MAX(0,((('核心假设'!J6*$A13*'核心假设'!J8*'核心假设'!J9)*'核心假设'!J10)*'核心假设'!J13-(('核心假设'!J6*$A13*'核心假设'!J8*'核心假设'!J9)*'核心假设'!J10)*('核心假设'!J31+'核心假设'!J32+'核心假设'!J33+'核心假设'!J34))*'核心假设'!J37))*'核心假设'!J39+(((('核心假设'!J17*F$6*'核心假设'!J19+'核心假设'!J20)*(1-'核心假设'!J22))*'核心假设'!J21-(('核心假设'!J17*F$6*'核心假设'!J19+'核心假设'!J20)*(1-'核心假设'!J22))*('核心假设'!J31+'核心假设'!J32+'核心假设'!J33+'核心假设'!J34))-MAX(0,((('核心假设'!J17*F$6*'核心假设'!J19+'核心假设'!J20)*(1-'核心假设'!J22))*'核心假设'!J21-(('核心假设'!J17*F$6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400.7409407999999</x:v>
      </x:c>
      <x:c r="G13" s="34" t="n">
        <x:f>((('核心假设'!J29*'核心假设'!J30+(('核心假设'!J6*$A13*'核心假设'!J8*'核心假设'!J9)*'核心假设'!J10)*'核心假设'!J13+(('核心假设'!J6*$A13*'核心假设'!J8*'核心假设'!J9)*'核心假设'!J11*'核心假设'!J12)*'核心假设'!J14+(('核心假设'!J17*G$6*'核心假设'!J19+'核心假设'!J20)*(1-'核心假设'!J22))*'核心假设'!J21+('核心假设'!J24*'核心假设'!J25)*'核心假设'!J26)-('核心假设'!J29+(('核心假设'!J6*$A13*'核心假设'!J8*'核心假设'!J9)*'核心假设'!J10)+(('核心假设'!J6*$A13*'核心假设'!J8*'核心假设'!J9)*'核心假设'!J11*'核心假设'!J12)+(('核心假设'!J17*G$6*'核心假设'!J19+'核心假设'!J20)*(1-'核心假设'!J22))+('核心假设'!J24*'核心假设'!J25))*('核心假设'!J31+'核心假设'!J32+'核心假设'!J33+'核心假设'!J34)-'核心假设'!J35+'核心假设'!J36)-MAX(0,(('核心假设'!J29*'核心假设'!J30+(('核心假设'!J6*$A13*'核心假设'!J8*'核心假设'!J9)*'核心假设'!J10)*'核心假设'!J13+(('核心假设'!J6*$A13*'核心假设'!J8*'核心假设'!J9)*'核心假设'!J11*'核心假设'!J12)*'核心假设'!J14+(('核心假设'!J17*G$6*'核心假设'!J19+'核心假设'!J20)*(1-'核心假设'!J22))*'核心假设'!J21+('核心假设'!J24*'核心假设'!J25)*'核心假设'!J26)-('核心假设'!J29+(('核心假设'!J6*$A13*'核心假设'!J8*'核心假设'!J9)*'核心假设'!J10)+(('核心假设'!J6*$A13*'核心假设'!J8*'核心假设'!J9)*'核心假设'!J11*'核心假设'!J12)+(('核心假设'!J17*G$6*'核心假设'!J19+'核心假设'!J20)*(1-'核心假设'!J22))+('核心假设'!J24*'核心假设'!J25))*('核心假设'!J31+'核心假设'!J32+'核心假设'!J33+'核心假设'!J34)-'核心假设'!J35+'核心假设'!J36)*'核心假设'!J37))-((((('核心假设'!J6*$A13*'核心假设'!J8*'核心假设'!J9)*'核心假设'!J10)*'核心假设'!J13-(('核心假设'!J6*$A13*'核心假设'!J8*'核心假设'!J9)*'核心假设'!J10)*('核心假设'!J31+'核心假设'!J32+'核心假设'!J33+'核心假设'!J34))-MAX(0,((('核心假设'!J6*$A13*'核心假设'!J8*'核心假设'!J9)*'核心假设'!J10)*'核心假设'!J13-(('核心假设'!J6*$A13*'核心假设'!J8*'核心假设'!J9)*'核心假设'!J10)*('核心假设'!J31+'核心假设'!J32+'核心假设'!J33+'核心假设'!J34))*'核心假设'!J37))*'核心假设'!J39+(((('核心假设'!J17*G$6*'核心假设'!J19+'核心假设'!J20)*(1-'核心假设'!J22))*'核心假设'!J21-(('核心假设'!J17*G$6*'核心假设'!J19+'核心假设'!J20)*(1-'核心假设'!J22))*('核心假设'!J31+'核心假设'!J32+'核心假设'!J33+'核心假设'!J34))-MAX(0,((('核心假设'!J17*G$6*'核心假设'!J19+'核心假设'!J20)*(1-'核心假设'!J22))*'核心假设'!J21-(('核心假设'!J17*G$6*'核心假设'!J19+'核心假设'!J20)*(1-'核心假设'!J22))*('核心假设'!J31+'核心假设'!J32+'核心假设'!J33+'核心假设'!J34))*'核心假设'!J37))*'核心假设'!J40+((('核心假设'!J24*'核心假设'!J25)*'核心假设'!J26-('核心假设'!J24*'核心假设'!J25)*('核心假设'!J31+'核心假设'!J32+'核心假设'!J33+'核心假设'!J34))-MAX(0,(('核心假设'!J24*'核心假设'!J25)*'核心假设'!J26-('核心假设'!J24*'核心假设'!J25)*('核心假设'!J31+'核心假设'!J32+'核心假设'!J33+'核心假设'!J34))*'核心假设'!J37))*'核心假设'!J41)</x:f>
        <x:v>429.13774079999996</x:v>
      </x:c>
    </x:row>
    <x:row r="16" ht="22" customHeight="1">
      <x:c r="A16" s="10" t="str">
        <x:v>解释</x:v>
      </x:c>
      <x:c r="B16" s="10"/>
      <x:c r="C16" s="10"/>
      <x:c r="D16" s="10"/>
      <x:c r="E16" s="10"/>
      <x:c r="F16" s="10"/>
      <x:c r="G16" s="10"/>
    </x:row>
    <x:row r="17">
      <x:c r="A17" s="81" t="str">
        <x:v>每个单元格完整重算2027E收入、分部毛利、公司费用、所得税及分部少数股东损益；采用率同时影响加工与外售切割线。网页基准采用率为 25%，设备兑现率为 50%，对应加工收入约 5.11亿元、外售设备收入约 8.0亿元。</x:v>
      </x:c>
      <x:c r="B17" s="81"/>
      <x:c r="C17" s="81"/>
      <x:c r="D17" s="81"/>
      <x:c r="E17" s="81"/>
      <x:c r="F17" s="81"/>
      <x:c r="G17" s="81"/>
    </x:row>
    <x:row r="18">
      <x:c r="A18" s="81"/>
      <x:c r="B18" s="81"/>
      <x:c r="C18" s="81"/>
      <x:c r="D18" s="81"/>
      <x:c r="E18" s="81"/>
      <x:c r="F18" s="81"/>
      <x:c r="G18" s="81"/>
    </x:row>
    <x:row r="19">
      <x:c r="A19" s="81"/>
      <x:c r="B19" s="81"/>
      <x:c r="C19" s="81"/>
      <x:c r="D19" s="81"/>
      <x:c r="E19" s="81"/>
      <x:c r="F19" s="81"/>
      <x:c r="G19" s="81"/>
    </x:row>
    <x:row r="20">
      <x:c r="A20" s="81"/>
      <x:c r="B20" s="81"/>
      <x:c r="C20" s="81"/>
      <x:c r="D20" s="81"/>
      <x:c r="E20" s="81"/>
      <x:c r="F20" s="81"/>
      <x:c r="G20" s="81"/>
    </x:row>
    <x:row r="21">
      <x:c r="A21" s="81"/>
      <x:c r="B21" s="81"/>
      <x:c r="C21" s="81"/>
      <x:c r="D21" s="81"/>
      <x:c r="E21" s="81"/>
      <x:c r="F21" s="81"/>
      <x:c r="G21" s="81"/>
    </x:row>
  </x:sheetData>
  <x:mergeCells>
    <x:mergeCell ref="A1:N1"/>
    <x:mergeCell ref="A2:N2"/>
    <x:mergeCell ref="A4:H4"/>
    <x:mergeCell ref="A16:G16"/>
    <x:mergeCell ref="A17:G21"/>
  </x:mergeCells>
  <x:conditionalFormatting sqref="B7:G13">
    <x:cfRule type="colorScale" priority="1">
      <x:colorScale>
        <x:cfvo type="min"/>
        <x:cfvo type="percentile" val="50"/>
        <x:cfvo type="max"/>
        <x:color rgb="FFFCE4D6"/>
        <x:color rgb="FFFFF2CC"/>
        <x:color rgb="FFE2F0D9"/>
      </x:colorScale>
    </x:cfRule>
  </x:conditionalFormatting>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25" hidden="0" customWidth="1"/>
    <x:col min="2" max="2" width="14" hidden="0" customWidth="1"/>
    <x:col min="3" max="3" width="38" hidden="0" customWidth="1"/>
    <x:col min="4" max="4" width="15" hidden="0" customWidth="1"/>
    <x:col min="5" max="5" width="15" hidden="0" customWidth="1"/>
    <x:col min="6" max="6" width="15" hidden="0" customWidth="1"/>
    <x:col min="7" max="7" width="15" hidden="0" customWidth="1"/>
    <x:col min="8" max="8" width="30" hidden="0" customWidth="1"/>
    <x:col min="9" max="9" width="15" hidden="0" customWidth="1"/>
    <x:col min="10" max="10" width="15" hidden="0" customWidth="1"/>
    <x:col min="11" max="11" width="15" hidden="0" customWidth="1"/>
    <x:col min="12" max="12" width="45" hidden="0" customWidth="1"/>
  </x:cols>
  <x:sheetData>
    <x:row r="1" ht="30" customHeight="1">
      <x:c r="A1" s="3" t="str">
        <x:v>2027E 基准情景分部估值</x:v>
      </x:c>
      <x:c r="B1" s="3"/>
      <x:c r="C1" s="3"/>
      <x:c r="D1" s="3"/>
      <x:c r="E1" s="3"/>
      <x:c r="F1" s="3"/>
      <x:c r="G1" s="3"/>
      <x:c r="H1" s="3"/>
      <x:c r="I1" s="3"/>
      <x:c r="J1" s="3"/>
      <x:c r="K1" s="3"/>
      <x:c r="L1" s="3"/>
    </x:row>
    <x:row r="2" ht="28" customHeight="1">
      <x:c r="A2" s="7" t="str">
        <x:v>与网页“分部估值”模块同步：各分部归母利润采用同一费用率、所得税与少数股东口径；2027E权益价值按10%折现回2026年。</x:v>
      </x:c>
      <x:c r="B2" s="7"/>
      <x:c r="C2" s="7"/>
      <x:c r="D2" s="7"/>
      <x:c r="E2" s="7"/>
      <x:c r="F2" s="7"/>
      <x:c r="G2" s="7"/>
      <x:c r="H2" s="7"/>
      <x:c r="I2" s="7"/>
      <x:c r="J2" s="7"/>
      <x:c r="K2" s="7"/>
      <x:c r="L2" s="7"/>
    </x:row>
    <x:row r="4" ht="22" customHeight="1">
      <x:c r="A4" s="10" t="str">
        <x:v>主业分部估值</x:v>
      </x:c>
      <x:c r="B4" s="10"/>
      <x:c r="C4" s="10"/>
      <x:c r="D4" s="10"/>
      <x:c r="E4" s="10"/>
      <x:c r="F4" s="10"/>
      <x:c r="G4" s="10"/>
      <x:c r="H4" s="10"/>
    </x:row>
    <x:row r="5">
      <x:c r="A5" s="26" t="str">
        <x:v>分部</x:v>
      </x:c>
      <x:c r="B5" s="26" t="str">
        <x:v>2027E分部归母利润</x:v>
      </x:c>
      <x:c r="C5" s="26" t="str">
        <x:v>前瞻PE</x:v>
      </x:c>
      <x:c r="D5" s="26" t="str">
        <x:v>2027E权益价值</x:v>
      </x:c>
      <x:c r="E5" s="26" t="str">
        <x:v>折现期</x:v>
      </x:c>
      <x:c r="F5" s="26" t="str">
        <x:v>折现率</x:v>
      </x:c>
      <x:c r="G5" s="26" t="str">
        <x:v>折现后权益价值</x:v>
      </x:c>
      <x:c r="H5" s="26" t="str">
        <x:v>口径</x:v>
      </x:c>
    </x:row>
    <x:row r="6">
      <x:c r="A6" s="32" t="str">
        <x:v>存量业务</x:v>
      </x:c>
      <x:c r="B6" s="34" t="n">
        <x:f>'分部预测'!C92-SUM(B7:B10)</x:f>
        <x:v>49.375999999999976</x:v>
      </x:c>
      <x:c r="C6" s="152" t="n">
        <x:v>15</x:v>
      </x:c>
      <x:c r="D6" s="53" t="n">
        <x:f>MAX(0,B6)*C6</x:f>
        <x:v>740.6399999999996</x:v>
      </x:c>
      <x:c r="E6" s="153" t="n">
        <x:v>1</x:v>
      </x:c>
      <x:c r="F6" s="55" t="n">
        <x:v>0.1</x:v>
      </x:c>
      <x:c r="G6" s="54" t="n">
        <x:f>D6/(1+F6)^E6</x:f>
        <x:v>673.3090909090905</x:v>
      </x:c>
      <x:c r="H6" s="32" t="str">
        <x:v>归母净利润扣除四项消费电子分部</x:v>
      </x:c>
    </x:row>
    <x:row r="7">
      <x:c r="A7" s="32" t="str">
        <x:v>切割加工</x:v>
      </x:c>
      <x:c r="B7" s="34" t="n">
        <x:f>('分部预测'!C69-'分部预测'!C56*('核心假设'!J31+'核心假设'!J32+'核心假设'!J33+'核心假设'!J34))-MAX(0,('分部预测'!C69-'分部预测'!C56*('核心假设'!J31+'核心假设'!J32+'核心假设'!J33+'核心假设'!J34))*'核心假设'!J37)-'分部预测'!C88</x:f>
        <x:v>137.74924799999997</x:v>
      </x:c>
      <x:c r="C7" s="152" t="n">
        <x:v>30</x:v>
      </x:c>
      <x:c r="D7" s="53" t="n">
        <x:f>MAX(0,B7)*C7</x:f>
        <x:v>4132.477439999999</x:v>
      </x:c>
      <x:c r="E7" s="153" t="n">
        <x:v>1</x:v>
      </x:c>
      <x:c r="F7" s="55" t="n">
        <x:v>0.1</x:v>
      </x:c>
      <x:c r="G7" s="54" t="n">
        <x:f>D7/(1+F7)^E7</x:f>
        <x:v>3756.797672727271</x:v>
      </x:c>
      <x:c r="H7" s="32" t="str">
        <x:v>分部毛利－分摊费用－税－对应少数股东</x:v>
      </x:c>
    </x:row>
    <x:row r="8">
      <x:c r="A8" s="32" t="str">
        <x:v>外售切割线</x:v>
      </x:c>
      <x:c r="B8" s="34" t="n">
        <x:f>('分部预测'!C70-'分部预测'!C57*('核心假设'!J31+'核心假设'!J32+'核心假设'!J33+'核心假设'!J34))-MAX(0,('分部预测'!C70-'分部预测'!C57*('核心假设'!J31+'核心假设'!J32+'核心假设'!J33+'核心假设'!J34))*'核心假设'!J37)</x:f>
        <x:v>5.975423999999999</x:v>
      </x:c>
      <x:c r="C8" s="152" t="n">
        <x:v>30</x:v>
      </x:c>
      <x:c r="D8" s="53" t="n">
        <x:f>MAX(0,B8)*C8</x:f>
        <x:v>179.26271999999997</x:v>
      </x:c>
      <x:c r="E8" s="153" t="n">
        <x:v>1</x:v>
      </x:c>
      <x:c r="F8" s="55" t="n">
        <x:v>0.1</x:v>
      </x:c>
      <x:c r="G8" s="54" t="n">
        <x:f>D8/(1+F8)^E8</x:f>
        <x:v>162.96610909090904</x:v>
      </x:c>
      <x:c r="H8" s="32" t="str">
        <x:v>分部毛利－分摊费用－税－对应少数股东</x:v>
      </x:c>
    </x:row>
    <x:row r="9">
      <x:c r="A9" s="32" t="str">
        <x:v>设备</x:v>
      </x:c>
      <x:c r="B9" s="34" t="n">
        <x:f>('分部预测'!C71-'分部预测'!C60*('核心假设'!J31+'核心假设'!J32+'核心假设'!J33+'核心假设'!J34))-MAX(0,('分部预测'!C71-'分部预测'!C60*('核心假设'!J31+'核心假设'!J32+'核心假设'!J33+'核心假设'!J34))*'核心假设'!J37)-'分部预测'!C89</x:f>
        <x:v>113.58719999999998</x:v>
      </x:c>
      <x:c r="C9" s="152" t="n">
        <x:v>50</x:v>
      </x:c>
      <x:c r="D9" s="53" t="n">
        <x:f>MAX(0,B9)*C9</x:f>
        <x:v>5679.359999999999</x:v>
      </x:c>
      <x:c r="E9" s="153" t="n">
        <x:v>1</x:v>
      </x:c>
      <x:c r="F9" s="55" t="n">
        <x:v>0.1</x:v>
      </x:c>
      <x:c r="G9" s="54" t="n">
        <x:f>D9/(1+F9)^E9</x:f>
        <x:v>5163.054545454544</x:v>
      </x:c>
      <x:c r="H9" s="32" t="str">
        <x:v>分部毛利－分摊费用－税－对应少数股东</x:v>
      </x:c>
    </x:row>
    <x:row r="10">
      <x:c r="A10" s="32" t="str">
        <x:v>耗材</x:v>
      </x:c>
      <x:c r="B10" s="34" t="n">
        <x:f>('分部预测'!C72-'分部预测'!C61*('核心假设'!J31+'核心假设'!J32+'核心假设'!J33+'核心假设'!J34))-MAX(0,('分部预测'!C72-'分部预测'!C61*('核心假设'!J31+'核心假设'!J32+'核心假设'!J33+'核心假设'!J34))*'核心假设'!J37)-'分部预测'!C90</x:f>
        <x:v>64.96</x:v>
      </x:c>
      <x:c r="C10" s="152" t="n">
        <x:v>50</x:v>
      </x:c>
      <x:c r="D10" s="53" t="n">
        <x:f>MAX(0,B10)*C10</x:f>
        <x:v>3247.9999999999995</x:v>
      </x:c>
      <x:c r="E10" s="153" t="n">
        <x:v>1</x:v>
      </x:c>
      <x:c r="F10" s="55" t="n">
        <x:v>0.1</x:v>
      </x:c>
      <x:c r="G10" s="54" t="n">
        <x:f>D10/(1+F10)^E10</x:f>
        <x:v>2952.727272727272</x:v>
      </x:c>
      <x:c r="H10" s="32" t="str">
        <x:v>分部毛利－分摊费用－税－对应少数股东</x:v>
      </x:c>
    </x:row>
    <x:row r="11">
      <x:c r="A11" s="142" t="str">
        <x:v>合计</x:v>
      </x:c>
      <x:c r="B11" s="148" t="n">
        <x:f>SUM(B6:B10)</x:f>
        <x:v>371.6478719999999</x:v>
      </x:c>
      <x:c r="C11" s="142"/>
      <x:c r="D11" s="145" t="n">
        <x:f>SUM(D6:D10)</x:f>
        <x:v>13979.740159999998</x:v>
      </x:c>
      <x:c r="E11" s="142"/>
      <x:c r="F11" s="142"/>
      <x:c r="G11" s="151" t="n">
        <x:f>SUM(G6:G10)</x:f>
        <x:v>12708.854690909087</x:v>
      </x:c>
      <x:c r="H11" s="142" t="str"/>
    </x:row>
    <x:row r="13">
      <x:c r="A13" s="26" t="str">
        <x:v>关键输出</x:v>
      </x:c>
      <x:c r="B13" s="26" t="str">
        <x:v>数值</x:v>
      </x:c>
    </x:row>
    <x:row r="14">
      <x:c r="A14" s="32" t="str">
        <x:v>折现后权益价值（百万元）</x:v>
      </x:c>
      <x:c r="B14" s="156" t="n">
        <x:f>G11</x:f>
        <x:v>12708.854690909087</x:v>
      </x:c>
    </x:row>
    <x:row r="15">
      <x:c r="A15" s="32" t="str">
        <x:v>隐含价格（元/股）</x:v>
      </x:c>
      <x:c r="B15" s="156" t="n">
        <x:f>B14/'核心假设'!J38</x:f>
        <x:v>32.00990445700988</x:v>
      </x:c>
    </x:row>
    <x:row r="18" ht="22" customHeight="1">
      <x:c r="A18" s="10" t="str">
        <x:v>可比公司与研究参考区间</x:v>
      </x:c>
      <x:c r="B18" s="10"/>
      <x:c r="C18" s="10"/>
      <x:c r="D18" s="10"/>
      <x:c r="E18" s="10"/>
      <x:c r="F18" s="10"/>
      <x:c r="G18" s="10"/>
      <x:c r="H18" s="10"/>
      <x:c r="I18" s="10"/>
      <x:c r="J18" s="10"/>
      <x:c r="K18" s="10"/>
      <x:c r="L18" s="10"/>
    </x:row>
    <x:row r="19">
      <x:c r="A19" s="26" t="str">
        <x:v>公司</x:v>
      </x:c>
      <x:c r="B19" s="26" t="str">
        <x:v>代码</x:v>
      </x:c>
      <x:c r="C19" s="26" t="str">
        <x:v>样本角色</x:v>
      </x:c>
      <x:c r="D19" s="26" t="str">
        <x:v>2025收入(亿元)</x:v>
      </x:c>
      <x:c r="E19" s="26" t="str">
        <x:v>收入增速</x:v>
      </x:c>
      <x:c r="F19" s="26" t="str">
        <x:v>核心分部毛利率</x:v>
      </x:c>
      <x:c r="G19" s="26" t="str">
        <x:v>核心分部</x:v>
      </x:c>
      <x:c r="H19" s="26" t="str">
        <x:v>归母净利率</x:v>
      </x:c>
      <x:c r="I19" s="26" t="str">
        <x:v>实际PE TTM</x:v>
      </x:c>
      <x:c r="J19" s="26" t="str">
        <x:v>研究区间</x:v>
      </x:c>
      <x:c r="K19" s="26" t="str">
        <x:v>市场日期</x:v>
      </x:c>
      <x:c r="L19" s="26" t="str">
        <x:v>来源</x:v>
      </x:c>
    </x:row>
    <x:row r="20" ht="42" customHeight="1">
      <x:c r="A20" s="38" t="str">
        <x:v>宇晶股份</x:v>
      </x:c>
      <x:c r="B20" s="38" t="str">
        <x:v>002943.SZ</x:v>
      </x:c>
      <x:c r="C20" s="38" t="str">
        <x:v>硬脆材料设备向消费电子、半导体延展的早期平台</x:v>
      </x:c>
      <x:c r="D20" s="162" t="n">
        <x:v>8.35</x:v>
      </x:c>
      <x:c r="E20" s="58" t="n">
        <x:v>-0.1956</x:v>
      </x:c>
      <x:c r="F20" s="58" t="n">
        <x:v>0.3225</x:v>
      </x:c>
      <x:c r="G20" s="38" t="str">
        <x:v>精密切磨抛设备</x:v>
      </x:c>
      <x:c r="H20" s="58" t="n">
        <x:v>0.0158</x:v>
      </x:c>
      <x:c r="I20" s="163" t="n">
        <x:v>272.8</x:v>
      </x:c>
      <x:c r="J20" s="38" t="str">
        <x:v>50—60x</x:v>
      </x:c>
      <x:c r="K20" s="38" t="str">
        <x:v>2026-08-21</x:v>
      </x:c>
      <x:c r="L20" s="164" t="str">
        <x:v>https://static.cninfo.com.cn/finalpage/2026-04-29/1225245690.PDF</x:v>
      </x:c>
    </x:row>
    <x:row r="21" ht="42" customHeight="1">
      <x:c r="A21" s="38" t="str">
        <x:v>博众精工</x:v>
      </x:c>
      <x:c r="B21" s="38" t="str">
        <x:v>688097.SH</x:v>
      </x:c>
      <x:c r="C21" s="38" t="str">
        <x:v>消费电子自动化由项目交付进入规模放量</x:v>
      </x:c>
      <x:c r="D21" s="162" t="n">
        <x:v>65.66</x:v>
      </x:c>
      <x:c r="E21" s="58" t="n">
        <x:v>0.3253</x:v>
      </x:c>
      <x:c r="F21" s="58" t="n">
        <x:v>0.2793</x:v>
      </x:c>
      <x:c r="G21" s="38" t="str">
        <x:v>自动化设备</x:v>
      </x:c>
      <x:c r="H21" s="58" t="n">
        <x:v>0.0904</x:v>
      </x:c>
      <x:c r="I21" s="163" t="n">
        <x:v>33.6</x:v>
      </x:c>
      <x:c r="J21" s="38" t="str">
        <x:v>30—40x</x:v>
      </x:c>
      <x:c r="K21" s="38" t="str">
        <x:v>2026-08-21</x:v>
      </x:c>
      <x:c r="L21" s="164" t="str">
        <x:v>https://stockmc.xueqiu.com/202604/688097_20260411_0LF9.pdf</x:v>
      </x:c>
    </x:row>
    <x:row r="22" ht="42" customHeight="1">
      <x:c r="A22" s="38" t="str">
        <x:v>赛腾股份</x:v>
      </x:c>
      <x:c r="B22" s="38" t="str">
        <x:v>603283.SH</x:v>
      </x:c>
      <x:c r="C22" s="38" t="str">
        <x:v>A客户自动化设备成熟平台与订单周期样本</x:v>
      </x:c>
      <x:c r="D22" s="162" t="n">
        <x:v>33.86</x:v>
      </x:c>
      <x:c r="E22" s="58" t="n">
        <x:v>-0.1646</x:v>
      </x:c>
      <x:c r="F22" s="58" t="n">
        <x:v>0.4552</x:v>
      </x:c>
      <x:c r="G22" s="38" t="str">
        <x:v>自动化设备</x:v>
      </x:c>
      <x:c r="H22" s="58" t="n">
        <x:v>0.1433</x:v>
      </x:c>
      <x:c r="I22" s="163" t="n">
        <x:v>32.5</x:v>
      </x:c>
      <x:c r="J22" s="38" t="str">
        <x:v>25—35x</x:v>
      </x:c>
      <x:c r="K22" s="38" t="str">
        <x:v>2026-08-21</x:v>
      </x:c>
      <x:c r="L22" s="164" t="str">
        <x:v>https://money.finance.sina.com.cn/corp/view/vCB_AllBulletinDetail.php?id=12212858&amp;stockid=603283</x:v>
      </x:c>
    </x:row>
    <x:row r="23" ht="42" customHeight="1">
      <x:c r="A23" s="38" t="str">
        <x:v>快克智能</x:v>
      </x:c>
      <x:c r="B23" s="38" t="str">
        <x:v>603203.SH</x:v>
      </x:c>
      <x:c r="C23" s="38" t="str">
        <x:v>消费电子精密组装设备向多场景扩张的中小盘样本</x:v>
      </x:c>
      <x:c r="D23" s="162" t="n">
        <x:v>10.81</x:v>
      </x:c>
      <x:c r="E23" s="58" t="n">
        <x:v>0.1433</x:v>
      </x:c>
      <x:c r="F23" s="58" t="n">
        <x:v>0.4774</x:v>
      </x:c>
      <x:c r="G23" s="38" t="str">
        <x:v>专用设备制造</x:v>
      </x:c>
      <x:c r="H23" s="58" t="n">
        <x:v>0.1281</x:v>
      </x:c>
      <x:c r="I23" s="163" t="n">
        <x:v>96.6</x:v>
      </x:c>
      <x:c r="J23" s="38" t="str">
        <x:v>30—40x</x:v>
      </x:c>
      <x:c r="K23" s="38" t="str">
        <x:v>2026-08-21</x:v>
      </x:c>
      <x:c r="L23" s="164" t="str">
        <x:v>https://static.cninfo.com.cn/finalpage/2026-04-24/1225173060.PDF</x:v>
      </x:c>
    </x:row>
    <x:row r="24" ht="42" customHeight="1">
      <x:c r="A24" s="38" t="str">
        <x:v>蓝思科技</x:v>
      </x:c>
      <x:c r="B24" s="38" t="str">
        <x:v>300433.SZ</x:v>
      </x:c>
      <x:c r="C24" s="38" t="str">
        <x:v>消费电子精密加工规模化成熟样本</x:v>
      </x:c>
      <x:c r="D24" s="162" t="n">
        <x:v>744.1</x:v>
      </x:c>
      <x:c r="E24" s="58" t="n">
        <x:v>0.0646</x:v>
      </x:c>
      <x:c r="F24" s="58" t="n">
        <x:v>0.1541</x:v>
      </x:c>
      <x:c r="G24" s="38" t="str">
        <x:v>智能手机与电脑</x:v>
      </x:c>
      <x:c r="H24" s="58" t="n">
        <x:v>0.054</x:v>
      </x:c>
      <x:c r="I24" s="163" t="n">
        <x:v>57.1</x:v>
      </x:c>
      <x:c r="J24" s="38" t="str">
        <x:v>15—25x</x:v>
      </x:c>
      <x:c r="K24" s="38" t="str">
        <x:v>2026-08-21</x:v>
      </x:c>
      <x:c r="L24" s="164" t="str">
        <x:v>https://disc.static.szse.cn/download/disc/disk03/finalpage/2026-03-31/51a36b51-bc87-410b-8fca-aaab38dacbd9.pdf</x:v>
      </x:c>
    </x:row>
  </x:sheetData>
  <x:mergeCells>
    <x:mergeCell ref="A1:L1"/>
    <x:mergeCell ref="A2:L2"/>
    <x:mergeCell ref="A4:H4"/>
    <x:mergeCell ref="A18:L18"/>
  </x:mergeCells>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16" hidden="0" customWidth="1"/>
    <x:col min="2" max="2" width="17" hidden="0" customWidth="1"/>
    <x:col min="3" max="3" width="17" hidden="0" customWidth="1"/>
    <x:col min="4" max="4" width="24" hidden="0" customWidth="1"/>
    <x:col min="5" max="5" width="24" hidden="0" customWidth="1"/>
    <x:col min="6" max="6" width="20" hidden="0" customWidth="1"/>
    <x:col min="7" max="7" width="16" hidden="0" customWidth="1"/>
    <x:col min="8" max="8" width="24" hidden="0" customWidth="1"/>
    <x:col min="9" max="9" width="28" hidden="0" customWidth="1"/>
    <x:col min="10" max="10" width="42" hidden="0" customWidth="1"/>
    <x:col min="11" max="11" width="14" hidden="0" customWidth="1"/>
  </x:cols>
  <x:sheetData>
    <x:row r="1" ht="30" customHeight="1">
      <x:c r="A1" s="3" t="str">
        <x:v>终端趋势、Apple创新与可触及市场</x:v>
      </x:c>
      <x:c r="B1" s="3"/>
      <x:c r="C1" s="3"/>
      <x:c r="D1" s="3"/>
      <x:c r="E1" s="3"/>
      <x:c r="F1" s="3"/>
      <x:c r="G1" s="3"/>
      <x:c r="H1" s="3"/>
      <x:c r="I1" s="3"/>
      <x:c r="J1" s="3"/>
      <x:c r="K1" s="3"/>
    </x:row>
    <x:row r="2" ht="28" customHeight="1">
      <x:c r="A2" s="7" t="str">
        <x:v>完整同步当前网页 IndustryOutlook 与其他增长研究数据；行业预测和调研桥接用于解释情景，不自动并入近期主业预测。</x:v>
      </x:c>
      <x:c r="B2" s="7"/>
      <x:c r="C2" s="7"/>
      <x:c r="D2" s="7"/>
      <x:c r="E2" s="7"/>
      <x:c r="F2" s="7"/>
      <x:c r="G2" s="7"/>
      <x:c r="H2" s="7"/>
      <x:c r="I2" s="7"/>
      <x:c r="J2" s="7"/>
      <x:c r="K2" s="7"/>
    </x:row>
    <x:row r="4" ht="22" customHeight="1">
      <x:c r="A4" s="10" t="str">
        <x:v>端侧AI智能手机预测</x:v>
      </x:c>
      <x:c r="B4" s="10"/>
      <x:c r="C4" s="10"/>
      <x:c r="D4" s="10"/>
      <x:c r="E4" s="10"/>
      <x:c r="F4" s="10"/>
      <x:c r="G4" s="10"/>
      <x:c r="H4" s="10"/>
      <x:c r="I4" s="10"/>
      <x:c r="J4" s="10"/>
      <x:c r="K4" s="10"/>
    </x:row>
    <x:row r="5">
      <x:c r="A5" s="26" t="str">
        <x:v>年份</x:v>
      </x:c>
      <x:c r="B5" s="26" t="str">
        <x:v>全球智能手机出货(百万部)</x:v>
      </x:c>
      <x:c r="C5" s="26" t="str">
        <x:v>同比</x:v>
      </x:c>
      <x:c r="D5" s="26" t="str">
        <x:v>GenAI手机占比</x:v>
      </x:c>
      <x:c r="E5" s="26" t="str">
        <x:v>GenAI手机出货(百万部)</x:v>
      </x:c>
      <x:c r="F5" s="26" t="str">
        <x:v>数据口径</x:v>
      </x:c>
    </x:row>
    <x:row r="6">
      <x:c r="A6" s="32" t="n">
        <x:v>2025</x:v>
      </x:c>
      <x:c r="B6" s="165" t="n">
        <x:v>1266</x:v>
      </x:c>
      <x:c r="C6" s="166"/>
      <x:c r="D6" s="166" t="n">
        <x:v>0.36</x:v>
      </x:c>
      <x:c r="E6" s="165" t="n">
        <x:v>455.8</x:v>
      </x:c>
      <x:c r="F6" s="32" t="str">
        <x:v>基准年</x:v>
      </x:c>
    </x:row>
    <x:row r="7">
      <x:c r="A7" s="32" t="n">
        <x:v>2026</x:v>
      </x:c>
      <x:c r="B7" s="165" t="n">
        <x:v>1090</x:v>
      </x:c>
      <x:c r="C7" s="166" t="n">
        <x:v>-0.139</x:v>
      </x:c>
      <x:c r="D7" s="166" t="n">
        <x:v>0.45</x:v>
      </x:c>
      <x:c r="E7" s="165" t="n">
        <x:v>490.5</x:v>
      </x:c>
      <x:c r="F7" s="32" t="str">
        <x:v>网页当前预测</x:v>
      </x:c>
    </x:row>
    <x:row r="8">
      <x:c r="A8" s="32" t="n">
        <x:v>2027</x:v>
      </x:c>
      <x:c r="B8" s="165" t="n">
        <x:v>1078</x:v>
      </x:c>
      <x:c r="C8" s="166" t="n">
        <x:v>-0.011</x:v>
      </x:c>
      <x:c r="D8" s="166" t="n">
        <x:v>0.52</x:v>
      </x:c>
      <x:c r="E8" s="165" t="n">
        <x:v>560.6</x:v>
      </x:c>
      <x:c r="F8" s="32" t="str">
        <x:v>网页当前预测</x:v>
      </x:c>
    </x:row>
    <x:row r="9">
      <x:c r="A9" s="32" t="n">
        <x:v>2028</x:v>
      </x:c>
      <x:c r="B9" s="165" t="n">
        <x:v>1137</x:v>
      </x:c>
      <x:c r="C9" s="166" t="n">
        <x:v>0.055</x:v>
      </x:c>
      <x:c r="D9" s="166" t="n">
        <x:v>0.54</x:v>
      </x:c>
      <x:c r="E9" s="165" t="n">
        <x:v>614</x:v>
      </x:c>
      <x:c r="F9" s="32" t="str">
        <x:v>网页当前预测</x:v>
      </x:c>
    </x:row>
    <x:row r="10" ht="30" customHeight="1">
      <x:c r="A10" s="169" t="str">
        <x:v>来源：IDC https://www.idc.com/resource-center/blog/worldwide-smartphone-market-to-decline-13-9-in-2026-as-memory-crisis-and-us-iran-war-constrain-growth/；Counterpoint https://counterpointresearch.com/en/insights/genai-smartphone-share-to-rise-to-45-percent-of-global-shipments-in-2026</x:v>
      </x:c>
      <x:c r="B10" s="169"/>
      <x:c r="C10" s="169"/>
      <x:c r="D10" s="169"/>
      <x:c r="E10" s="169"/>
      <x:c r="F10" s="169"/>
      <x:c r="G10" s="169"/>
      <x:c r="H10" s="169"/>
      <x:c r="I10" s="169"/>
      <x:c r="J10" s="169"/>
      <x:c r="K10" s="169"/>
    </x:row>
    <x:row r="12" ht="22" customHeight="1">
      <x:c r="A12" s="10" t="str">
        <x:v>折叠屏手机预测</x:v>
      </x:c>
      <x:c r="B12" s="10"/>
      <x:c r="C12" s="10"/>
      <x:c r="D12" s="10"/>
      <x:c r="E12" s="10"/>
      <x:c r="F12" s="10"/>
      <x:c r="G12" s="10"/>
      <x:c r="H12" s="10"/>
      <x:c r="I12" s="10"/>
      <x:c r="J12" s="10"/>
      <x:c r="K12" s="10"/>
    </x:row>
    <x:row r="13">
      <x:c r="A13" s="26" t="str">
        <x:v>年份</x:v>
      </x:c>
      <x:c r="B13" s="26" t="str">
        <x:v>全球折叠屏出货(百万部)</x:v>
      </x:c>
      <x:c r="C13" s="26" t="str">
        <x:v>同比</x:v>
      </x:c>
      <x:c r="D13" s="26" t="str">
        <x:v>书本式占比</x:v>
      </x:c>
      <x:c r="E13" s="26" t="str">
        <x:v>数据状态</x:v>
      </x:c>
      <x:c r="F13" s="26" t="str">
        <x:v>研究含义</x:v>
      </x:c>
    </x:row>
    <x:row r="14">
      <x:c r="A14" s="32" t="n">
        <x:v>2025</x:v>
      </x:c>
      <x:c r="B14" s="165" t="n">
        <x:v>18.2</x:v>
      </x:c>
      <x:c r="C14" s="166"/>
      <x:c r="D14" s="166" t="n">
        <x:v>0.52</x:v>
      </x:c>
      <x:c r="E14" s="32" t="str">
        <x:v>公开预测</x:v>
      </x:c>
      <x:c r="F14" s="38" t="str">
        <x:v>高端折叠形态增加UTG、外屏盖板与背板工序密度</x:v>
      </x:c>
    </x:row>
    <x:row r="15">
      <x:c r="A15" s="32" t="n">
        <x:v>2026</x:v>
      </x:c>
      <x:c r="B15" s="165" t="n">
        <x:v>23.6</x:v>
      </x:c>
      <x:c r="C15" s="166" t="n">
        <x:v>0.297</x:v>
      </x:c>
      <x:c r="D15" s="166" t="n">
        <x:v>0.65</x:v>
      </x:c>
      <x:c r="E15" s="32" t="str">
        <x:v>公开预测</x:v>
      </x:c>
      <x:c r="F15" s="38" t="str">
        <x:v>高端折叠形态增加UTG、外屏盖板与背板工序密度</x:v>
      </x:c>
    </x:row>
    <x:row r="16">
      <x:c r="A16" s="32" t="n">
        <x:v>2027</x:v>
      </x:c>
      <x:c r="B16" s="165" t="n">
        <x:v>29.1</x:v>
      </x:c>
      <x:c r="C16" s="166" t="n">
        <x:v>0.233</x:v>
      </x:c>
      <x:c r="D16" s="166" t="n">
        <x:v>0.68</x:v>
      </x:c>
      <x:c r="E16" s="32" t="str">
        <x:v>研究拟合</x:v>
      </x:c>
      <x:c r="F16" s="38" t="str">
        <x:v>高端折叠形态增加UTG、外屏盖板与背板工序密度</x:v>
      </x:c>
    </x:row>
    <x:row r="17">
      <x:c r="A17" s="32" t="n">
        <x:v>2028</x:v>
      </x:c>
      <x:c r="B17" s="165" t="n">
        <x:v>36</x:v>
      </x:c>
      <x:c r="C17" s="166" t="n">
        <x:v>0.237</x:v>
      </x:c>
      <x:c r="D17" s="166" t="n">
        <x:v>0.7</x:v>
      </x:c>
      <x:c r="E17" s="32" t="str">
        <x:v>公开预测</x:v>
      </x:c>
      <x:c r="F17" s="38" t="str">
        <x:v>高端折叠形态增加UTG、外屏盖板与背板工序密度</x:v>
      </x:c>
    </x:row>
    <x:row r="18" ht="34" customHeight="1">
      <x:c r="A18" s="169" t="str">
        <x:v>来源：Counterpoint https://counterpointresearch.com/en/insights/Book-Type-Devices-to-Reach-of-Global-Foldable-Smartphone-Shipments-in-2026；Omdia https://www.businesswire.com/news/home/20260819141961/en/；Corning https://www.corning.com/cala/en/innovation/materials-science/glass/Foldable-Glass.html</x:v>
      </x:c>
      <x:c r="B18" s="169"/>
      <x:c r="C18" s="169"/>
      <x:c r="D18" s="169"/>
      <x:c r="E18" s="169"/>
      <x:c r="F18" s="169"/>
      <x:c r="G18" s="169"/>
      <x:c r="H18" s="169"/>
      <x:c r="I18" s="169"/>
      <x:c r="J18" s="169"/>
      <x:c r="K18" s="169"/>
    </x:row>
    <x:row r="20" ht="22" customHeight="1">
      <x:c r="A20" s="10" t="str">
        <x:v>产业研究—主业模型桥接</x:v>
      </x:c>
      <x:c r="B20" s="10"/>
      <x:c r="C20" s="10"/>
      <x:c r="D20" s="10"/>
      <x:c r="E20" s="10"/>
      <x:c r="F20" s="10"/>
      <x:c r="G20" s="10"/>
      <x:c r="H20" s="10"/>
      <x:c r="I20" s="10"/>
      <x:c r="J20" s="10"/>
      <x:c r="K20" s="10"/>
    </x:row>
    <x:row r="21">
      <x:c r="A21" s="26" t="str">
        <x:v>桥接项</x:v>
      </x:c>
      <x:c r="B21" s="26" t="str">
        <x:v>当前网页值</x:v>
      </x:c>
      <x:c r="D21" s="173" t="str">
        <x:v>调研资料显示，A客户2025年终端销量约2.5亿台；预计岱勒新材与A客户合作规格和品种由2026年约两款向2027年约四款扩展，考虑良率、周转和备件后，前端加工量可能约为终端需求的1.5倍。</x:v>
      </x:c>
      <x:c r="E21" s="173"/>
      <x:c r="F21" s="173"/>
      <x:c r="G21" s="173"/>
      <x:c r="H21" s="173"/>
      <x:c r="I21" s="173"/>
      <x:c r="J21" s="173"/>
      <x:c r="K21" s="173"/>
    </x:row>
    <x:row r="22">
      <x:c r="A22" s="32" t="str">
        <x:v>A客户终端池(百万台)</x:v>
      </x:c>
      <x:c r="B22" s="165" t="n">
        <x:v>250</x:v>
      </x:c>
      <x:c r="D22" s="173"/>
      <x:c r="E22" s="173"/>
      <x:c r="F22" s="173"/>
      <x:c r="G22" s="173"/>
      <x:c r="H22" s="173"/>
      <x:c r="I22" s="173"/>
      <x:c r="J22" s="173"/>
      <x:c r="K22" s="173"/>
    </x:row>
    <x:row r="23">
      <x:c r="A23" s="32" t="str">
        <x:v>2026E合作规格/款数</x:v>
      </x:c>
      <x:c r="B23" s="165" t="n">
        <x:v>2</x:v>
      </x:c>
      <x:c r="D23" s="173"/>
      <x:c r="E23" s="173"/>
      <x:c r="F23" s="173"/>
      <x:c r="G23" s="173"/>
      <x:c r="H23" s="173"/>
      <x:c r="I23" s="173"/>
      <x:c r="J23" s="173"/>
      <x:c r="K23" s="173"/>
    </x:row>
    <x:row r="24">
      <x:c r="A24" s="32" t="str">
        <x:v>2027E合作规格/款数</x:v>
      </x:c>
      <x:c r="B24" s="165" t="n">
        <x:v>4</x:v>
      </x:c>
      <x:c r="D24" s="173"/>
      <x:c r="E24" s="173"/>
      <x:c r="F24" s="173"/>
      <x:c r="G24" s="173"/>
      <x:c r="H24" s="173"/>
      <x:c r="I24" s="173"/>
      <x:c r="J24" s="173"/>
      <x:c r="K24" s="173"/>
    </x:row>
    <x:row r="25">
      <x:c r="A25" s="32" t="str">
        <x:v>前端加工量系数</x:v>
      </x:c>
      <x:c r="B25" s="170" t="n">
        <x:v>1.5</x:v>
      </x:c>
      <x:c r="D25" s="173"/>
      <x:c r="E25" s="173"/>
      <x:c r="F25" s="173"/>
      <x:c r="G25" s="173"/>
      <x:c r="H25" s="173"/>
      <x:c r="I25" s="173"/>
      <x:c r="J25" s="173"/>
      <x:c r="K25" s="173"/>
    </x:row>
    <x:row r="28" ht="22" customHeight="1">
      <x:c r="A28" s="10" t="str">
        <x:v>Apple产品与玻璃工艺里程碑</x:v>
      </x:c>
      <x:c r="B28" s="10"/>
      <x:c r="C28" s="10"/>
      <x:c r="D28" s="10"/>
      <x:c r="E28" s="10"/>
      <x:c r="F28" s="10"/>
      <x:c r="G28" s="10"/>
      <x:c r="H28" s="10"/>
      <x:c r="I28" s="10"/>
      <x:c r="J28" s="10"/>
      <x:c r="K28" s="10"/>
    </x:row>
    <x:row r="29">
      <x:c r="A29" s="26" t="str">
        <x:v>年份</x:v>
      </x:c>
      <x:c r="B29" s="26" t="str">
        <x:v>里程碑</x:v>
      </x:c>
      <x:c r="C29" s="26" t="str">
        <x:v>状态</x:v>
      </x:c>
      <x:c r="D29" s="26" t="str">
        <x:v>产品变化</x:v>
      </x:c>
      <x:c r="E29" s="26" t="str">
        <x:v>玻璃/加工含义</x:v>
      </x:c>
      <x:c r="F29" s="26" t="str">
        <x:v>来源</x:v>
      </x:c>
      <x:c r="G29" s="26" t="str">
        <x:v>URL</x:v>
      </x:c>
    </x:row>
    <x:row r="30" ht="66" customHeight="1">
      <x:c r="A30" s="39" t="str">
        <x:v>2025</x:v>
      </x:c>
      <x:c r="B30" s="39" t="str">
        <x:v>材料升级</x:v>
      </x:c>
      <x:c r="C30" s="39" t="str">
        <x:v>已发布</x:v>
      </x:c>
      <x:c r="D30" s="39" t="str">
        <x:v>iPhone 17导入Ceramic Shield 2，前盖抗刮能力较上一代提升3倍；Pro机型首次将Ceramic Shield扩展至背面。</x:v>
      </x:c>
      <x:c r="E30" s="39" t="str">
        <x:v>前后盖材料、涂层和表面功能同步升级，玻璃从结构件进一步成为功能材料。</x:v>
      </x:c>
      <x:c r="F30" s="39" t="str">
        <x:v>Apple Newsroom</x:v>
      </x:c>
      <x:c r="G30" s="174" t="str">
        <x:v>https://www.apple.com/in/newsroom/2025/09/apple-introduces-iphone-17/</x:v>
      </x:c>
    </x:row>
    <x:row r="31" ht="66" customHeight="1">
      <x:c r="A31" s="39" t="str">
        <x:v>2026</x:v>
      </x:c>
      <x:c r="B31" s="39" t="str">
        <x:v>折叠形态</x:v>
      </x:c>
      <x:c r="C31" s="39" t="str">
        <x:v>产业预测</x:v>
      </x:c>
      <x:c r="D31" s="39" t="str">
        <x:v>Counterpoint预计Apple进入书本式折叠市场，2026年出货约660万部，全年份额约28%。</x:v>
      </x:c>
      <x:c r="E31" s="39" t="str">
        <x:v>外屏盖板、内屏超薄可弯折玻璃与背板并存，单机玻璃层数及边缘可靠性要求提高。</x:v>
      </x:c>
      <x:c r="F31" s="39" t="str">
        <x:v>Counterpoint</x:v>
      </x:c>
      <x:c r="G31" s="174" t="str">
        <x:v>https://counterpointresearch.com/en/reports/apple-foldable-entry-to-raise-the-bar-for-crease-free-display-innovation</x:v>
      </x:c>
    </x:row>
    <x:row r="32" ht="66" customHeight="1">
      <x:c r="A32" s="39" t="str">
        <x:v>2027</x:v>
      </x:c>
      <x:c r="B32" s="39" t="str">
        <x:v>20周年设计</x:v>
      </x:c>
      <x:c r="C32" s="39" t="str">
        <x:v>产业报道</x:v>
      </x:c>
      <x:c r="D32" s="39" t="str">
        <x:v>Bloomberg报道玻璃化程度更高的20周年iPhone仍按2027年推进，设计重点指向更连续的前后玻璃视觉。</x:v>
      </x:c>
      <x:c r="E32" s="39" t="str">
        <x:v>曲面、窄边框、摄像头区域与前后盖连接方式变化，提升异形切割、轮廓加工和良率控制价值。</x:v>
      </x:c>
      <x:c r="F32" s="39" t="str">
        <x:v>Bloomberg</x:v>
      </x:c>
      <x:c r="G32" s="174" t="str">
        <x:v>https://www.bloomberg.com/news/articles/2026-08-11/apple-s-glass-centric-20th-anniversary-iphone-remains-on-track-for-2027</x:v>
      </x:c>
    </x:row>
    <x:row r="34" ht="22" customHeight="1">
      <x:c r="A34" s="10" t="str">
        <x:v>Apple创新与产业新闻</x:v>
      </x:c>
      <x:c r="B34" s="10"/>
      <x:c r="C34" s="10"/>
      <x:c r="D34" s="10"/>
      <x:c r="E34" s="10"/>
      <x:c r="F34" s="10"/>
      <x:c r="G34" s="10"/>
      <x:c r="H34" s="10"/>
      <x:c r="I34" s="10"/>
      <x:c r="J34" s="10"/>
      <x:c r="K34" s="10"/>
    </x:row>
    <x:row r="35">
      <x:c r="A35" s="26" t="str">
        <x:v>日期</x:v>
      </x:c>
      <x:c r="B35" s="26" t="str">
        <x:v>来源</x:v>
      </x:c>
      <x:c r="C35" s="26" t="str">
        <x:v>等级</x:v>
      </x:c>
      <x:c r="D35" s="26" t="str">
        <x:v>标签</x:v>
      </x:c>
      <x:c r="E35" s="26" t="str">
        <x:v>标题</x:v>
      </x:c>
      <x:c r="F35" s="26" t="str">
        <x:v>摘要</x:v>
      </x:c>
      <x:c r="G35" s="26" t="str">
        <x:v>产业信号</x:v>
      </x:c>
      <x:c r="H35" s="26" t="str">
        <x:v>URL</x:v>
      </x:c>
    </x:row>
    <x:row r="36" ht="58" customHeight="1">
      <x:c r="A36" s="39" t="str">
        <x:v>2026.08.11</x:v>
      </x:c>
      <x:c r="B36" s="39" t="str">
        <x:v>Bloomberg</x:v>
      </x:c>
      <x:c r="C36" s="39" t="str">
        <x:v>权威媒体</x:v>
      </x:c>
      <x:c r="D36" s="39" t="str">
        <x:v>20周年款</x:v>
      </x:c>
      <x:c r="E36" s="39" t="str">
        <x:v>玻璃化程度更高的20周年iPhone仍按2027年推进</x:v>
      </x:c>
      <x:c r="F36" s="39" t="str">
        <x:v>报道指向前后玻璃视觉连续性和更窄金属中框，是2027年外观创新的重要供应链观察窗口。</x:v>
      </x:c>
      <x:c r="G36" s="39" t="str">
        <x:v>曲面与异形玻璃加工复杂度上行</x:v>
      </x:c>
      <x:c r="H36" s="174" t="str">
        <x:v>https://www.bloomberg.com/news/articles/2026-08-11/apple-s-glass-centric-20th-anniversary-iphone-remains-on-track-for-2027</x:v>
      </x:c>
    </x:row>
    <x:row r="37" ht="58" customHeight="1">
      <x:c r="A37" s="39" t="str">
        <x:v>2026.06.22</x:v>
      </x:c>
      <x:c r="B37" s="39" t="str">
        <x:v>Counterpoint</x:v>
      </x:c>
      <x:c r="C37" s="39" t="str">
        <x:v>产业研究</x:v>
      </x:c>
      <x:c r="D37" s="39" t="str">
        <x:v>端侧AI</x:v>
      </x:c>
      <x:c r="E37" s="39" t="str">
        <x:v>GenAI手机预计在2027年占全球出货量52%</x:v>
      </x:c>
      <x:c r="F37" s="39" t="str">
        <x:v>2025年占比约36%，2026年预计升至45%；Apple与Samsung依托高端产品组合处于领先位置。</x:v>
      </x:c>
      <x:c r="G37" s="39" t="str">
        <x:v>AI由旗舰卖点向主流配置迁移</x:v>
      </x:c>
      <x:c r="H37" s="174" t="str">
        <x:v>https://counterpointresearch.com/en/insights/genai-smartphone-share-to-rise-to-45-percent-of-global-shipments-in-2026</x:v>
      </x:c>
    </x:row>
    <x:row r="38" ht="58" customHeight="1">
      <x:c r="A38" s="39" t="str">
        <x:v>2026.06.08</x:v>
      </x:c>
      <x:c r="B38" s="39" t="str">
        <x:v>Apple</x:v>
      </x:c>
      <x:c r="C38" s="39" t="str">
        <x:v>公司官方</x:v>
      </x:c>
      <x:c r="D38" s="39" t="str">
        <x:v>Siri AI</x:v>
      </x:c>
      <x:c r="E38" s="39" t="str">
        <x:v>Apple发布新一代Apple Intelligence与Siri AI</x:v>
      </x:c>
      <x:c r="F38" s="39" t="str">
        <x:v>新能力覆盖iPhone 15 Pro、iPhone 16及后续机型，端侧与云端协同进一步提高换机对算力和内存配置的要求。</x:v>
      </x:c>
      <x:c r="G38" s="39" t="str">
        <x:v>AI功能覆盖机型继续扩大</x:v>
      </x:c>
      <x:c r="H38" s="174" t="str">
        <x:v>https://www.apple.com/newsroom/2026/06/apple-unveils-next-generation-of-apple-intelligence-siri-ai-and-more/</x:v>
      </x:c>
    </x:row>
    <x:row r="39" ht="58" customHeight="1">
      <x:c r="A39" s="39" t="str">
        <x:v>2026.05.06</x:v>
      </x:c>
      <x:c r="B39" s="39" t="str">
        <x:v>Counterpoint</x:v>
      </x:c>
      <x:c r="C39" s="39" t="str">
        <x:v>产业研究</x:v>
      </x:c>
      <x:c r="D39" s="39" t="str">
        <x:v>折叠屏</x:v>
      </x:c>
      <x:c r="E39" s="39" t="str">
        <x:v>Apple折叠屏手机首年出货预测约660万部</x:v>
      </x:c>
      <x:c r="F39" s="39" t="str">
        <x:v>预测其2026年全年占全球折叠市场约28%，并在第四季度取得较高份额，书本式折叠成为高端形态主线。</x:v>
      </x:c>
      <x:c r="G39" s="39" t="str">
        <x:v>UTG、外屏盖板与背板增加工序密度</x:v>
      </x:c>
      <x:c r="H39" s="174" t="str">
        <x:v>https://counterpointresearch.com/en/reports/apple-foldable-entry-to-raise-the-bar-for-crease-free-display-innovation</x:v>
      </x:c>
    </x:row>
    <x:row r="40" ht="58" customHeight="1">
      <x:c r="A40" s="39" t="str">
        <x:v>2026.04.30</x:v>
      </x:c>
      <x:c r="B40" s="39" t="str">
        <x:v>Apple</x:v>
      </x:c>
      <x:c r="C40" s="39" t="str">
        <x:v>公司官方</x:v>
      </x:c>
      <x:c r="D40" s="39" t="str">
        <x:v>需求基础</x:v>
      </x:c>
      <x:c r="E40" s="39" t="str">
        <x:v>iPhone创历史最佳三月季度收入</x:v>
      </x:c>
      <x:c r="F40" s="39" t="str">
        <x:v>Apple披露iPhone 17系列需求推动三月季度收入创纪录，活跃设备安装量也再创新高。</x:v>
      </x:c>
      <x:c r="G40" s="39" t="str">
        <x:v>高端存量池为新品创新提供换机基础</x:v>
      </x:c>
      <x:c r="H40" s="174" t="str">
        <x:v>https://www.apple.com/newsroom/2026/04/apple-reports-second-quarter-results/</x:v>
      </x:c>
    </x:row>
    <x:row r="41" ht="58" customHeight="1">
      <x:c r="A41" s="39" t="str">
        <x:v>2025.08.06</x:v>
      </x:c>
      <x:c r="B41" s="39" t="str">
        <x:v>Apple × Corning</x:v>
      </x:c>
      <x:c r="C41" s="39" t="str">
        <x:v>公司官方</x:v>
      </x:c>
      <x:c r="D41" s="39" t="str">
        <x:v>盖板玻璃</x:v>
      </x:c>
      <x:c r="E41" s="39" t="str">
        <x:v>Apple追加25亿美元建设先进盖板玻璃平台</x:v>
      </x:c>
      <x:c r="F41" s="39" t="str">
        <x:v>项目覆盖iPhone与Apple Watch盖板玻璃，并设立创新中心研发先进材料和下一代制造平台。</x:v>
      </x:c>
      <x:c r="G41" s="39" t="str">
        <x:v>盖板玻璃继续向材料与制造平台升级</x:v>
      </x:c>
      <x:c r="H41" s="174" t="str">
        <x:v>https://www.apple.com/newsroom/2025/08/apple-corning-to-manufacture-all-iphone-apple-watch-cover-glass-in-kentucky/</x:v>
      </x:c>
    </x:row>
    <x:row r="43" ht="22" customHeight="1">
      <x:c r="A43" s="10" t="str">
        <x:v>非光伏金刚线演进</x:v>
      </x:c>
      <x:c r="B43" s="10"/>
      <x:c r="C43" s="10"/>
      <x:c r="D43" s="10"/>
      <x:c r="E43" s="10"/>
      <x:c r="F43" s="10"/>
      <x:c r="G43" s="10"/>
      <x:c r="H43" s="10"/>
      <x:c r="I43" s="10"/>
      <x:c r="J43" s="10"/>
      <x:c r="K43" s="10"/>
    </x:row>
    <x:row r="44">
      <x:c r="A44" s="26" t="str">
        <x:v>期间</x:v>
      </x:c>
      <x:c r="B44" s="26" t="str">
        <x:v>金刚线收入(百万元)</x:v>
      </x:c>
      <x:c r="C44" s="26" t="str">
        <x:v>非光伏占比</x:v>
      </x:c>
      <x:c r="D44" s="26" t="str">
        <x:v>非光伏收入(百万元)</x:v>
      </x:c>
      <x:c r="E44" s="26" t="str">
        <x:v>同比</x:v>
      </x:c>
      <x:c r="F44" s="26" t="str">
        <x:v>口径</x:v>
      </x:c>
    </x:row>
    <x:row r="45">
      <x:c r="A45" s="32" t="str">
        <x:v>2024A</x:v>
      </x:c>
      <x:c r="B45" s="165" t="n">
        <x:v>299.109</x:v>
      </x:c>
      <x:c r="C45" s="166" t="n">
        <x:v>0.1</x:v>
      </x:c>
      <x:c r="D45" s="165" t="n">
        <x:v>29.911</x:v>
      </x:c>
      <x:c r="E45" s="166"/>
      <x:c r="F45" s="38" t="str">
        <x:v>年报收入 × 约10%非光伏占比</x:v>
      </x:c>
    </x:row>
    <x:row r="46">
      <x:c r="A46" s="32" t="str">
        <x:v>2025A</x:v>
      </x:c>
      <x:c r="B46" s="165" t="n">
        <x:v>332.272</x:v>
      </x:c>
      <x:c r="C46" s="166" t="n">
        <x:v>0.3</x:v>
      </x:c>
      <x:c r="D46" s="165" t="n">
        <x:v>99.682</x:v>
      </x:c>
      <x:c r="E46" s="166" t="n">
        <x:v>2.333</x:v>
      </x:c>
      <x:c r="F46" s="38" t="str">
        <x:v>年报收入 × 约30%非光伏占比</x:v>
      </x:c>
    </x:row>
    <x:row r="47">
      <x:c r="A47" s="32" t="str">
        <x:v>2026E</x:v>
      </x:c>
      <x:c r="B47" s="165" t="n">
        <x:v>350</x:v>
      </x:c>
      <x:c r="C47" s="166" t="n">
        <x:v>0.45</x:v>
      </x:c>
      <x:c r="D47" s="165" t="n">
        <x:v>157.5</x:v>
      </x:c>
      <x:c r="E47" s="166" t="n">
        <x:v>0.58</x:v>
      </x:c>
      <x:c r="F47" s="38" t="str">
        <x:v>研究假设：总收入温和修复、非光伏占比45%</x:v>
      </x:c>
    </x:row>
    <x:row r="49" ht="22" customHeight="1">
      <x:c r="A49" s="10" t="str">
        <x:v>中期可触及市场（按公司能力过滤）</x:v>
      </x:c>
      <x:c r="B49" s="10"/>
      <x:c r="C49" s="10"/>
      <x:c r="D49" s="10"/>
      <x:c r="E49" s="10"/>
      <x:c r="F49" s="10"/>
      <x:c r="G49" s="10"/>
      <x:c r="H49" s="10"/>
      <x:c r="I49" s="10"/>
      <x:c r="J49" s="10"/>
      <x:c r="K49" s="10"/>
    </x:row>
    <x:row r="50">
      <x:c r="A50" s="26" t="str">
        <x:v>领域</x:v>
      </x:c>
      <x:c r="B50" s="26" t="str">
        <x:v>切割线</x:v>
      </x:c>
      <x:c r="C50" s="26" t="str">
        <x:v>加工</x:v>
      </x:c>
      <x:c r="D50" s="26" t="str">
        <x:v>设备</x:v>
      </x:c>
      <x:c r="E50" s="26" t="str">
        <x:v>耗材</x:v>
      </x:c>
      <x:c r="F50" s="26" t="str">
        <x:v>合计(百万元/年)</x:v>
      </x:c>
      <x:c r="G50" s="26" t="str">
        <x:v>近端可触及率</x:v>
      </x:c>
      <x:c r="H50" s="26" t="str">
        <x:v>研究区间</x:v>
      </x:c>
      <x:c r="I50" s="26" t="str">
        <x:v>切入重点</x:v>
      </x:c>
      <x:c r="J50" s="26" t="str">
        <x:v>测算口径</x:v>
      </x:c>
      <x:c r="K50" s="26" t="str">
        <x:v>来源类型</x:v>
      </x:c>
    </x:row>
    <x:row r="51" ht="52" customHeight="1">
      <x:c r="A51" s="39" t="str">
        <x:v>石材</x:v>
      </x:c>
      <x:c r="B51" s="176" t="n">
        <x:v>950</x:v>
      </x:c>
      <x:c r="C51" s="176" t="n">
        <x:v>0</x:v>
      </x:c>
      <x:c r="D51" s="176" t="n">
        <x:v>0</x:v>
      </x:c>
      <x:c r="E51" s="176" t="n">
        <x:v>150</x:v>
      </x:c>
      <x:c r="F51" s="176" t="n">
        <x:f>SUM(B51:E51)</x:f>
        <x:v>1100</x:v>
      </x:c>
      <x:c r="G51" s="177" t="n">
        <x:v>0.18</x:v>
      </x:c>
      <x:c r="H51" s="39" t="str">
        <x:v>7—15亿元/年</x:v>
      </x:c>
      <x:c r="I51" s="39" t="str">
        <x:v>粗线供应 + 砂轮/研磨耗材</x:v>
      </x:c>
      <x:c r="J51" s="39" t="str">
        <x:v>以高价值大板加工线数、换线周期与单线用量测算；公司现阶段主要供线，不将大型设备收入计入。</x:v>
      </x:c>
      <x:c r="K51" s="39" t="str">
        <x:v>调研信息</x:v>
      </x:c>
    </x:row>
    <x:row r="52" ht="52" customHeight="1">
      <x:c r="A52" s="39" t="str">
        <x:v>磁材</x:v>
      </x:c>
      <x:c r="B52" s="176" t="n">
        <x:v>450</x:v>
      </x:c>
      <x:c r="C52" s="176" t="n">
        <x:v>350</x:v>
      </x:c>
      <x:c r="D52" s="176" t="n">
        <x:v>330</x:v>
      </x:c>
      <x:c r="E52" s="176" t="n">
        <x:v>170</x:v>
      </x:c>
      <x:c r="F52" s="176" t="n">
        <x:f>SUM(B52:E52)</x:f>
        <x:v>1300</x:v>
      </x:c>
      <x:c r="G52" s="177" t="n">
        <x:v>0.25</x:v>
      </x:c>
      <x:c r="H52" s="39" t="str">
        <x:v>8—18亿元/年</x:v>
      </x:c>
      <x:c r="I52" s="39" t="str">
        <x:v>切割线扩份额，逐步导入加工与耗材</x:v>
      </x:c>
      <x:c r="J52" s="39" t="str">
        <x:v>按无线充与新能源车钕铁硼加工量、单件切割价值及设备更新周期自下而上测算。</x:v>
      </x:c>
      <x:c r="K52" s="39" t="str">
        <x:v>调研信息</x:v>
      </x:c>
    </x:row>
    <x:row r="53" ht="52" customHeight="1">
      <x:c r="A53" s="39" t="str">
        <x:v>玻璃 / 陶瓷</x:v>
      </x:c>
      <x:c r="B53" s="176" t="n">
        <x:v>300</x:v>
      </x:c>
      <x:c r="C53" s="176" t="n">
        <x:v>2600</x:v>
      </x:c>
      <x:c r="D53" s="176" t="n">
        <x:v>2050</x:v>
      </x:c>
      <x:c r="E53" s="176" t="n">
        <x:v>1550</x:v>
      </x:c>
      <x:c r="F53" s="176" t="n">
        <x:f>SUM(B53:E53)</x:f>
        <x:v>6500</x:v>
      </x:c>
      <x:c r="G53" s="177" t="n">
        <x:v>0.55</x:v>
      </x:c>
      <x:c r="H53" s="39" t="str">
        <x:v>45—85亿元/年</x:v>
      </x:c>
      <x:c r="I53" s="39" t="str">
        <x:v>惠州加工量产 → 捷泰设备 → 耗材外售复购</x:v>
      </x:c>
      <x:c r="J53" s="39" t="str">
        <x:v>以消费电子高端盖板可采用终端池、切割份数、加工单价、产线设备与耗材单耗建模。</x:v>
      </x:c>
      <x:c r="K53" s="39" t="str">
        <x:v>公开资料</x:v>
      </x:c>
    </x:row>
    <x:row r="54" ht="52" customHeight="1">
      <x:c r="A54" s="39" t="str">
        <x:v>金属 / 3D打印</x:v>
      </x:c>
      <x:c r="B54" s="176" t="n">
        <x:v>250</x:v>
      </x:c>
      <x:c r="C54" s="176" t="n">
        <x:v>250</x:v>
      </x:c>
      <x:c r="D54" s="176" t="n">
        <x:v>850</x:v>
      </x:c>
      <x:c r="E54" s="176" t="n">
        <x:v>150</x:v>
      </x:c>
      <x:c r="F54" s="176" t="n">
        <x:f>SUM(B54:E54)</x:f>
        <x:v>1500</x:v>
      </x:c>
      <x:c r="G54" s="177" t="n">
        <x:v>0.15</x:v>
      </x:c>
      <x:c r="H54" s="39" t="str">
        <x:v>8—22亿元/年</x:v>
      </x:c>
      <x:c r="I54" s="39" t="str">
        <x:v>金刚石线 + 基板分离专机</x:v>
      </x:c>
      <x:c r="J54" s="39" t="str">
        <x:v>按金属增材设备保有量、基板分离工位数、专机ASP及替换线耗估算。</x:v>
      </x:c>
      <x:c r="K54" s="39" t="str">
        <x:v>调研信息</x:v>
      </x:c>
    </x:row>
    <x:row r="55" ht="52" customHeight="1">
      <x:c r="A55" s="39" t="str">
        <x:v>半导体</x:v>
      </x:c>
      <x:c r="B55" s="176" t="n">
        <x:v>150</x:v>
      </x:c>
      <x:c r="C55" s="176" t="n">
        <x:v>450</x:v>
      </x:c>
      <x:c r="D55" s="176" t="n">
        <x:v>450</x:v>
      </x:c>
      <x:c r="E55" s="176" t="n">
        <x:v>1300</x:v>
      </x:c>
      <x:c r="F55" s="176" t="n">
        <x:f>SUM(B55:E55)</x:f>
        <x:v>2350</x:v>
      </x:c>
      <x:c r="G55" s="177" t="n">
        <x:v>0.08</x:v>
      </x:c>
      <x:c r="H55" s="39" t="str">
        <x:v>12—35亿元/年</x:v>
      </x:c>
      <x:c r="I55" s="39" t="str">
        <x:v>CMP耗材、精密切割与玻璃基板协同开发</x:v>
      </x:c>
      <x:c r="J55" s="39" t="str">
        <x:v>以玻璃基板和先进封装的切割、研磨抛/CMP与功能材料环节为边界，不计入晶圆制造全市场。</x:v>
      </x:c>
      <x:c r="K55" s="39" t="str">
        <x:v>调研信息</x:v>
      </x:c>
    </x:row>
  </x:sheetData>
  <x:mergeCells>
    <x:mergeCell ref="A1:K1"/>
    <x:mergeCell ref="A2:K2"/>
    <x:mergeCell ref="A4:K4"/>
    <x:mergeCell ref="A10:K10"/>
    <x:mergeCell ref="A12:K12"/>
    <x:mergeCell ref="A18:K18"/>
    <x:mergeCell ref="A20:K20"/>
    <x:mergeCell ref="D21:K25"/>
    <x:mergeCell ref="A28:K28"/>
    <x:mergeCell ref="A34:K34"/>
    <x:mergeCell ref="A43:K43"/>
    <x:mergeCell ref="A49:K49"/>
  </x:mergeCells>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RowHeight="15"/>
  <x:cols>
    <x:col min="1" max="1" width="28" hidden="0" customWidth="1"/>
    <x:col min="2" max="2" width="16" hidden="0" customWidth="1"/>
    <x:col min="3" max="3" width="15" hidden="0" customWidth="1"/>
    <x:col min="4" max="4" width="16" hidden="0" customWidth="1"/>
    <x:col min="5" max="5" width="16" hidden="0" customWidth="1"/>
    <x:col min="6" max="6" width="15" hidden="0" customWidth="1"/>
    <x:col min="7" max="7" width="13" hidden="0" customWidth="1"/>
    <x:col min="8" max="8" width="16" hidden="0" customWidth="1"/>
    <x:col min="9" max="9" width="17" hidden="0" customWidth="1"/>
    <x:col min="10" max="10" width="17" hidden="0" customWidth="1"/>
    <x:col min="11" max="11" width="14" hidden="0" customWidth="1"/>
    <x:col min="12" max="12" width="19" hidden="0" customWidth="1"/>
    <x:col min="13" max="13" width="28" hidden="0" customWidth="1"/>
  </x:cols>
  <x:sheetData>
    <x:row r="1" ht="30" customHeight="1">
      <x:c r="A1" s="3" t="str">
        <x:v>远期增长点与期权估值</x:v>
      </x:c>
      <x:c r="B1" s="3"/>
      <x:c r="C1" s="3"/>
      <x:c r="D1" s="3"/>
      <x:c r="E1" s="3"/>
      <x:c r="F1" s="3"/>
      <x:c r="G1" s="3"/>
      <x:c r="H1" s="3"/>
      <x:c r="I1" s="3"/>
      <x:c r="J1" s="3"/>
      <x:c r="K1" s="3"/>
      <x:c r="L1" s="3"/>
      <x:c r="M1" s="3"/>
    </x:row>
    <x:row r="2" ht="28" customHeight="1">
      <x:c r="A2" s="7" t="str">
        <x:v>机器人腱绳、玻璃基板加工/耗材、金刚石铜散热与耕驰新能源均从当前网页数据动态载入；收入空间与期权估值不并入近期主业预测。</x:v>
      </x:c>
      <x:c r="B2" s="7"/>
      <x:c r="C2" s="7"/>
      <x:c r="D2" s="7"/>
      <x:c r="E2" s="7"/>
      <x:c r="F2" s="7"/>
      <x:c r="G2" s="7"/>
      <x:c r="H2" s="7"/>
      <x:c r="I2" s="7"/>
      <x:c r="J2" s="7"/>
      <x:c r="K2" s="7"/>
      <x:c r="L2" s="7"/>
      <x:c r="M2" s="7"/>
    </x:row>
    <x:row r="4" ht="22" customHeight="1">
      <x:c r="A4" s="10" t="str">
        <x:v>机器人腱绳价值池（网页驱动逐项公式化）</x:v>
      </x:c>
      <x:c r="B4" s="10"/>
      <x:c r="C4" s="10"/>
      <x:c r="D4" s="10"/>
      <x:c r="E4" s="10"/>
      <x:c r="F4" s="10"/>
      <x:c r="G4" s="10"/>
      <x:c r="H4" s="10"/>
      <x:c r="I4" s="10"/>
      <x:c r="J4" s="10"/>
      <x:c r="K4" s="10"/>
      <x:c r="L4" s="10"/>
      <x:c r="M4" s="10"/>
    </x:row>
    <x:row r="5">
      <x:c r="A5" s="26" t="str">
        <x:v>年份</x:v>
      </x:c>
      <x:c r="B5" s="26" t="str">
        <x:v>人形机器人出货(千台)</x:v>
      </x:c>
      <x:c r="C5" s="26" t="str">
        <x:v>腱绳采用率</x:v>
      </x:c>
      <x:c r="D5" s="26" t="str">
        <x:v>首装单机价值(元)</x:v>
      </x:c>
      <x:c r="E5" s="26" t="str">
        <x:v>首装价值池(百万元)</x:v>
      </x:c>
      <x:c r="F5" s="26" t="str">
        <x:v>可用存量(千台)</x:v>
      </x:c>
      <x:c r="G5" s="26" t="str">
        <x:v>年换绳频次</x:v>
      </x:c>
      <x:c r="H5" s="26" t="str">
        <x:v>换绳单机价值(元)</x:v>
      </x:c>
      <x:c r="I5" s="26" t="str">
        <x:v>换绳价值池(百万元)</x:v>
      </x:c>
      <x:c r="J5" s="26" t="str">
        <x:v>行业价值池合计(百万元)</x:v>
      </x:c>
      <x:c r="K5" s="26" t="str">
        <x:v>可触及份额</x:v>
      </x:c>
      <x:c r="L5" s="26" t="str">
        <x:v>岱勒可触及收入(百万元)</x:v>
      </x:c>
      <x:c r="M5" s="26" t="str">
        <x:v>阶段说明</x:v>
      </x:c>
    </x:row>
    <x:row r="6">
      <x:c r="A6" s="32" t="n">
        <x:v>2026</x:v>
      </x:c>
      <x:c r="B6" s="53" t="n">
        <x:v>50</x:v>
      </x:c>
      <x:c r="C6" s="55" t="n">
        <x:v>0.2</x:v>
      </x:c>
      <x:c r="D6" s="181" t="n">
        <x:v>8000</x:v>
      </x:c>
      <x:c r="E6" s="165" t="n">
        <x:f>B6*C6*D6/1000</x:f>
        <x:v>80</x:v>
      </x:c>
      <x:c r="F6" s="53" t="n">
        <x:v>0</x:v>
      </x:c>
      <x:c r="G6" s="90" t="n">
        <x:v>0</x:v>
      </x:c>
      <x:c r="H6" s="181" t="n">
        <x:v>6800</x:v>
      </x:c>
      <x:c r="I6" s="165" t="n">
        <x:f>F6*G6*H6/1000</x:f>
        <x:v>0</x:v>
      </x:c>
      <x:c r="J6" s="165" t="n">
        <x:f>E6+I6</x:f>
        <x:v>80</x:v>
      </x:c>
      <x:c r="K6" s="55" t="n">
        <x:v>0.1</x:v>
      </x:c>
      <x:c r="L6" s="165" t="n">
        <x:f>J6*K6</x:f>
        <x:v>8</x:v>
      </x:c>
      <x:c r="M6" s="38" t="str">
        <x:v>头部灵巧手客户多轮测试，规格与系统标准同步形成</x:v>
      </x:c>
    </x:row>
    <x:row r="7">
      <x:c r="A7" s="32" t="n">
        <x:v>2027</x:v>
      </x:c>
      <x:c r="B7" s="53" t="n">
        <x:v>290</x:v>
      </x:c>
      <x:c r="C7" s="55" t="n">
        <x:v>0.3</x:v>
      </x:c>
      <x:c r="D7" s="181" t="n">
        <x:v>7600</x:v>
      </x:c>
      <x:c r="E7" s="165" t="n">
        <x:f>B7*C7*D7/1000</x:f>
        <x:v>661.2</x:v>
      </x:c>
      <x:c r="F7" s="53" t="n">
        <x:v>10</x:v>
      </x:c>
      <x:c r="G7" s="90" t="n">
        <x:v>0.5</x:v>
      </x:c>
      <x:c r="H7" s="181" t="n">
        <x:v>6200</x:v>
      </x:c>
      <x:c r="I7" s="165" t="n">
        <x:f>F7*G7*H7/1000</x:f>
        <x:v>31</x:v>
      </x:c>
      <x:c r="J7" s="165" t="n">
        <x:f>E7+I7</x:f>
        <x:v>692.2</x:v>
      </x:c>
      <x:c r="K7" s="55" t="n">
        <x:v>0.15</x:v>
      </x:c>
      <x:c r="L7" s="165" t="n">
        <x:f>J7*K7</x:f>
        <x:v>103.83</x:v>
      </x:c>
      <x:c r="M7" s="38" t="str">
        <x:v>头部灵巧手客户多轮测试，规格与系统标准同步形成</x:v>
      </x:c>
    </x:row>
    <x:row r="8">
      <x:c r="A8" s="32" t="n">
        <x:v>2028</x:v>
      </x:c>
      <x:c r="B8" s="53" t="n">
        <x:v>500</x:v>
      </x:c>
      <x:c r="C8" s="55" t="n">
        <x:v>0.4</x:v>
      </x:c>
      <x:c r="D8" s="181" t="n">
        <x:v>7200</x:v>
      </x:c>
      <x:c r="E8" s="165" t="n">
        <x:f>B8*C8*D8/1000</x:f>
        <x:v>1440</x:v>
      </x:c>
      <x:c r="F8" s="53" t="n">
        <x:v>97</x:v>
      </x:c>
      <x:c r="G8" s="90" t="n">
        <x:v>0.8</x:v>
      </x:c>
      <x:c r="H8" s="181" t="n">
        <x:v>5800</x:v>
      </x:c>
      <x:c r="I8" s="165" t="n">
        <x:f>F8*G8*H8/1000</x:f>
        <x:v>450.08000000000004</x:v>
      </x:c>
      <x:c r="J8" s="165" t="n">
        <x:f>E8+I8</x:f>
        <x:v>1890.08</x:v>
      </x:c>
      <x:c r="K8" s="55" t="n">
        <x:v>0.18</x:v>
      </x:c>
      <x:c r="L8" s="165" t="n">
        <x:f>J8*K8</x:f>
        <x:v>340.21439999999996</x:v>
      </x:c>
      <x:c r="M8" s="38" t="str">
        <x:v>头部灵巧手客户多轮测试，规格与系统标准同步形成</x:v>
      </x:c>
    </x:row>
    <x:row r="9">
      <x:c r="A9" s="32" t="n">
        <x:v>2029</x:v>
      </x:c>
      <x:c r="B9" s="53" t="n">
        <x:v>800</x:v>
      </x:c>
      <x:c r="C9" s="55" t="n">
        <x:v>0.5</x:v>
      </x:c>
      <x:c r="D9" s="181" t="n">
        <x:v>6800</x:v>
      </x:c>
      <x:c r="E9" s="165" t="n">
        <x:f>B9*C9*D9/1000</x:f>
        <x:v>2720</x:v>
      </x:c>
      <x:c r="F9" s="53" t="n">
        <x:v>297</x:v>
      </x:c>
      <x:c r="G9" s="90" t="n">
        <x:v>1</x:v>
      </x:c>
      <x:c r="H9" s="181" t="n">
        <x:v>5400</x:v>
      </x:c>
      <x:c r="I9" s="165" t="n">
        <x:f>F9*G9*H9/1000</x:f>
        <x:v>1603.8</x:v>
      </x:c>
      <x:c r="J9" s="165" t="n">
        <x:f>E9+I9</x:f>
        <x:v>4323.8</x:v>
      </x:c>
      <x:c r="K9" s="55" t="n">
        <x:v>0.2</x:v>
      </x:c>
      <x:c r="L9" s="165" t="n">
        <x:f>J9*K9</x:f>
        <x:v>864.7600000000001</x:v>
      </x:c>
      <x:c r="M9" s="38" t="str">
        <x:v>头部灵巧手客户多轮测试，规格与系统标准同步形成</x:v>
      </x:c>
    </x:row>
    <x:row r="10">
      <x:c r="A10" s="32" t="n">
        <x:v>2030</x:v>
      </x:c>
      <x:c r="B10" s="53" t="n">
        <x:v>1200</x:v>
      </x:c>
      <x:c r="C10" s="55" t="n">
        <x:v>0.55</x:v>
      </x:c>
      <x:c r="D10" s="181" t="n">
        <x:v>6400</x:v>
      </x:c>
      <x:c r="E10" s="165" t="n">
        <x:f>B10*C10*D10/1000</x:f>
        <x:v>4224</x:v>
      </x:c>
      <x:c r="F10" s="53" t="n">
        <x:v>697</x:v>
      </x:c>
      <x:c r="G10" s="90" t="n">
        <x:v>1.2</x:v>
      </x:c>
      <x:c r="H10" s="181" t="n">
        <x:v>5000</x:v>
      </x:c>
      <x:c r="I10" s="165" t="n">
        <x:f>F10*G10*H10/1000</x:f>
        <x:v>4182</x:v>
      </x:c>
      <x:c r="J10" s="165" t="n">
        <x:f>E10+I10</x:f>
        <x:v>8406</x:v>
      </x:c>
      <x:c r="K10" s="55" t="n">
        <x:v>0.25</x:v>
      </x:c>
      <x:c r="L10" s="165" t="n">
        <x:f>J10*K10</x:f>
        <x:v>2101.5</x:v>
      </x:c>
      <x:c r="M10" s="38" t="str">
        <x:v>头部灵巧手客户多轮测试，规格与系统标准同步形成</x:v>
      </x:c>
    </x:row>
    <x:row r="11">
      <x:c r="A11" s="81" t="str">
        <x:v>新增首装价值池 + 存量机器人 × 年换绳频次 × 单机换绳价值量。单机首装按双手约88根、约100元/根校准至8,000元并随量产降本；耗材周期按约0.5—1年更换形成基准情景。2026E出货参考TrendForce，2027E—2030E采用Bank of America Institute基准路径并取整。</x:v>
      </x:c>
      <x:c r="B11" s="81"/>
      <x:c r="C11" s="81"/>
      <x:c r="D11" s="81"/>
      <x:c r="E11" s="81"/>
      <x:c r="F11" s="81"/>
      <x:c r="G11" s="81"/>
      <x:c r="H11" s="81"/>
      <x:c r="I11" s="81"/>
      <x:c r="J11" s="81"/>
      <x:c r="K11" s="81"/>
      <x:c r="L11" s="81"/>
      <x:c r="M11" s="81"/>
    </x:row>
    <x:row r="12">
      <x:c r="A12" s="81"/>
      <x:c r="B12" s="81"/>
      <x:c r="C12" s="81"/>
      <x:c r="D12" s="81"/>
      <x:c r="E12" s="81"/>
      <x:c r="F12" s="81"/>
      <x:c r="G12" s="81"/>
      <x:c r="H12" s="81"/>
      <x:c r="I12" s="81"/>
      <x:c r="J12" s="81"/>
      <x:c r="K12" s="81"/>
      <x:c r="L12" s="81"/>
      <x:c r="M12" s="81"/>
    </x:row>
    <x:row r="14" ht="22" customHeight="1">
      <x:c r="A14" s="10" t="str">
        <x:v>玻璃基板加工与耗材价值池（网页驱动逐项公式化）</x:v>
      </x:c>
      <x:c r="B14" s="10"/>
      <x:c r="C14" s="10"/>
      <x:c r="D14" s="10"/>
      <x:c r="E14" s="10"/>
      <x:c r="F14" s="10"/>
      <x:c r="G14" s="10"/>
      <x:c r="H14" s="10"/>
      <x:c r="I14" s="10"/>
      <x:c r="J14" s="10"/>
      <x:c r="K14" s="10"/>
      <x:c r="L14" s="10"/>
      <x:c r="M14" s="10"/>
    </x:row>
    <x:row r="15">
      <x:c r="A15" s="26" t="str">
        <x:v>年份</x:v>
      </x:c>
      <x:c r="B15" s="26" t="str">
        <x:v>可适配面板投料(千片)</x:v>
      </x:c>
      <x:c r="C15" s="26" t="str">
        <x:v>切割单价(元/片)</x:v>
      </x:c>
      <x:c r="D15" s="26" t="str">
        <x:v>切割价值池(百万元)</x:v>
      </x:c>
      <x:c r="E15" s="26" t="str">
        <x:v>耗材单价(元/片)</x:v>
      </x:c>
      <x:c r="F15" s="26" t="str">
        <x:v>耗材价值池(百万元)</x:v>
      </x:c>
      <x:c r="G15" s="26" t="str">
        <x:v>行业价值池合计(百万元)</x:v>
      </x:c>
      <x:c r="H15" s="26" t="str">
        <x:v>可触及份额</x:v>
      </x:c>
      <x:c r="I15" s="26" t="str">
        <x:v>岱勒可触及收入(百万元)</x:v>
      </x:c>
      <x:c r="J15" s="26" t="str">
        <x:v>产业阶段</x:v>
      </x:c>
    </x:row>
    <x:row r="16">
      <x:c r="A16" s="32" t="n">
        <x:v>2026</x:v>
      </x:c>
      <x:c r="B16" s="53" t="n">
        <x:v>20</x:v>
      </x:c>
      <x:c r="C16" s="53" t="n">
        <x:v>500</x:v>
      </x:c>
      <x:c r="D16" s="165" t="n">
        <x:f>B16*C16/1000</x:f>
        <x:v>10</x:v>
      </x:c>
      <x:c r="E16" s="53" t="n">
        <x:v>350</x:v>
      </x:c>
      <x:c r="F16" s="165" t="n">
        <x:f>B16*E16/1000</x:f>
        <x:v>7</x:v>
      </x:c>
      <x:c r="G16" s="165" t="n">
        <x:f>D16+F16</x:f>
        <x:v>17</x:v>
      </x:c>
      <x:c r="H16" s="55" t="n">
        <x:v>0.02</x:v>
      </x:c>
      <x:c r="I16" s="165" t="n">
        <x:f>G16*H16</x:f>
        <x:v>0.34</x:v>
      </x:c>
      <x:c r="J16" s="38" t="str">
        <x:v>产业协作与产品定义，跟踪切割、边缘加工与CMP耗材验证</x:v>
      </x:c>
    </x:row>
    <x:row r="17">
      <x:c r="A17" s="32" t="n">
        <x:v>2027</x:v>
      </x:c>
      <x:c r="B17" s="53" t="n">
        <x:v>60</x:v>
      </x:c>
      <x:c r="C17" s="53" t="n">
        <x:v>475</x:v>
      </x:c>
      <x:c r="D17" s="165" t="n">
        <x:f>B17*C17/1000</x:f>
        <x:v>28.5</x:v>
      </x:c>
      <x:c r="E17" s="53" t="n">
        <x:v>325</x:v>
      </x:c>
      <x:c r="F17" s="165" t="n">
        <x:f>B17*E17/1000</x:f>
        <x:v>19.5</x:v>
      </x:c>
      <x:c r="G17" s="165" t="n">
        <x:f>D17+F17</x:f>
        <x:v>48</x:v>
      </x:c>
      <x:c r="H17" s="55" t="n">
        <x:v>0.03</x:v>
      </x:c>
      <x:c r="I17" s="165" t="n">
        <x:f>G17*H17</x:f>
        <x:v>1.44</x:v>
      </x:c>
      <x:c r="J17" s="38" t="str">
        <x:v>产业协作与产品定义，跟踪切割、边缘加工与CMP耗材验证</x:v>
      </x:c>
    </x:row>
    <x:row r="18">
      <x:c r="A18" s="32" t="n">
        <x:v>2028</x:v>
      </x:c>
      <x:c r="B18" s="53" t="n">
        <x:v>200</x:v>
      </x:c>
      <x:c r="C18" s="53" t="n">
        <x:v>450</x:v>
      </x:c>
      <x:c r="D18" s="165" t="n">
        <x:f>B18*C18/1000</x:f>
        <x:v>90</x:v>
      </x:c>
      <x:c r="E18" s="53" t="n">
        <x:v>300</x:v>
      </x:c>
      <x:c r="F18" s="165" t="n">
        <x:f>B18*E18/1000</x:f>
        <x:v>60</x:v>
      </x:c>
      <x:c r="G18" s="165" t="n">
        <x:f>D18+F18</x:f>
        <x:v>150</x:v>
      </x:c>
      <x:c r="H18" s="55" t="n">
        <x:v>0.05</x:v>
      </x:c>
      <x:c r="I18" s="165" t="n">
        <x:f>G18*H18</x:f>
        <x:v>7.5</x:v>
      </x:c>
      <x:c r="J18" s="38" t="str">
        <x:v>产业协作与产品定义，跟踪切割、边缘加工与CMP耗材验证</x:v>
      </x:c>
    </x:row>
    <x:row r="19">
      <x:c r="A19" s="32" t="n">
        <x:v>2029</x:v>
      </x:c>
      <x:c r="B19" s="53" t="n">
        <x:v>350</x:v>
      </x:c>
      <x:c r="C19" s="53" t="n">
        <x:v>430</x:v>
      </x:c>
      <x:c r="D19" s="165" t="n">
        <x:f>B19*C19/1000</x:f>
        <x:v>150.5</x:v>
      </x:c>
      <x:c r="E19" s="53" t="n">
        <x:v>285</x:v>
      </x:c>
      <x:c r="F19" s="165" t="n">
        <x:f>B19*E19/1000</x:f>
        <x:v>99.75</x:v>
      </x:c>
      <x:c r="G19" s="165" t="n">
        <x:f>D19+F19</x:f>
        <x:v>250.25</x:v>
      </x:c>
      <x:c r="H19" s="55" t="n">
        <x:v>0.08</x:v>
      </x:c>
      <x:c r="I19" s="165" t="n">
        <x:f>G19*H19</x:f>
        <x:v>20.02</x:v>
      </x:c>
      <x:c r="J19" s="38" t="str">
        <x:v>产业协作与产品定义，跟踪切割、边缘加工与CMP耗材验证</x:v>
      </x:c>
    </x:row>
    <x:row r="20">
      <x:c r="A20" s="32" t="n">
        <x:v>2030</x:v>
      </x:c>
      <x:c r="B20" s="53" t="n">
        <x:v>600</x:v>
      </x:c>
      <x:c r="C20" s="53" t="n">
        <x:v>420</x:v>
      </x:c>
      <x:c r="D20" s="165" t="n">
        <x:f>B20*C20/1000</x:f>
        <x:v>252</x:v>
      </x:c>
      <x:c r="E20" s="53" t="n">
        <x:v>280</x:v>
      </x:c>
      <x:c r="F20" s="165" t="n">
        <x:f>B20*E20/1000</x:f>
        <x:v>168</x:v>
      </x:c>
      <x:c r="G20" s="165" t="n">
        <x:f>D20+F20</x:f>
        <x:v>420</x:v>
      </x:c>
      <x:c r="H20" s="55" t="n">
        <x:v>0.12</x:v>
      </x:c>
      <x:c r="I20" s="165" t="n">
        <x:f>G20*H20</x:f>
        <x:v>50.4</x:v>
      </x:c>
      <x:c r="J20" s="38" t="str">
        <x:v>产业协作与产品定义，跟踪切割、边缘加工与CMP耗材验证</x:v>
      </x:c>
    </x:row>
    <x:row r="21">
      <x:c r="A21" s="81" t="str">
        <x:v>可适配面板投料量 ×（单片切割价值 + 单片耗材价值）。SEMI预计玻璃芯基板于2028年前后在部分高性能应用进入有限量产，2028—2040年CAGR约67.2%；Corning公开资料给出515×510mm和600×600mm面板形态。投料量、单价和可触及份额为研究假设。</x:v>
      </x:c>
      <x:c r="B21" s="81"/>
      <x:c r="C21" s="81"/>
      <x:c r="D21" s="81"/>
      <x:c r="E21" s="81"/>
      <x:c r="F21" s="81"/>
      <x:c r="G21" s="81"/>
      <x:c r="H21" s="81"/>
      <x:c r="I21" s="81"/>
      <x:c r="J21" s="81"/>
      <x:c r="K21" s="81"/>
      <x:c r="L21" s="81"/>
      <x:c r="M21" s="81"/>
    </x:row>
    <x:row r="22">
      <x:c r="A22" s="81"/>
      <x:c r="B22" s="81"/>
      <x:c r="C22" s="81"/>
      <x:c r="D22" s="81"/>
      <x:c r="E22" s="81"/>
      <x:c r="F22" s="81"/>
      <x:c r="G22" s="81"/>
      <x:c r="H22" s="81"/>
      <x:c r="I22" s="81"/>
      <x:c r="J22" s="81"/>
      <x:c r="K22" s="81"/>
      <x:c r="L22" s="81"/>
      <x:c r="M22" s="81"/>
    </x:row>
    <x:row r="24" ht="22" customHeight="1">
      <x:c r="A24" s="10" t="str">
        <x:v>耕驰新能源价值池</x:v>
      </x:c>
      <x:c r="B24" s="10"/>
      <x:c r="C24" s="10"/>
      <x:c r="D24" s="10"/>
      <x:c r="F24" s="183" t="str">
        <x:v>湖南耕驰新能源科技有限公司，岱勒持股 35%。2023年上市公司受让翌上新能源35%股权；2024年耕驰新能源吸收合并翌上新能源，岱勒新材直接持有耕驰35%股权。平台主产品为石墨复合双极/流道板。2023年报披露，相关产品已通过氢燃料电池与液流储能头部客户验证并小批量销售。</x:v>
      </x:c>
      <x:c r="G24" s="183"/>
      <x:c r="H24" s="183"/>
      <x:c r="I24" s="183"/>
      <x:c r="J24" s="183"/>
      <x:c r="K24" s="183"/>
      <x:c r="L24" s="183"/>
      <x:c r="M24" s="183"/>
    </x:row>
    <x:row r="25">
      <x:c r="A25" s="26" t="str">
        <x:v>年份</x:v>
      </x:c>
      <x:c r="B25" s="26" t="str">
        <x:v>行业价值池(百万元)</x:v>
      </x:c>
      <x:c r="C25" s="26" t="str">
        <x:v>公司可触及收入(百万元)</x:v>
      </x:c>
      <x:c r="D25" s="26" t="str">
        <x:v>捕获率</x:v>
      </x:c>
      <x:c r="F25" s="183"/>
      <x:c r="G25" s="183"/>
      <x:c r="H25" s="183"/>
      <x:c r="I25" s="183"/>
      <x:c r="J25" s="183"/>
      <x:c r="K25" s="183"/>
      <x:c r="L25" s="183"/>
      <x:c r="M25" s="183"/>
    </x:row>
    <x:row r="26">
      <x:c r="A26" s="32" t="n">
        <x:v>2026</x:v>
      </x:c>
      <x:c r="B26" s="165" t="n">
        <x:v>520</x:v>
      </x:c>
      <x:c r="C26" s="165" t="n">
        <x:v>15</x:v>
      </x:c>
      <x:c r="D26" s="166" t="n">
        <x:v>0.029</x:v>
      </x:c>
      <x:c r="F26" s="183"/>
      <x:c r="G26" s="183"/>
      <x:c r="H26" s="183"/>
      <x:c r="I26" s="183"/>
      <x:c r="J26" s="183"/>
      <x:c r="K26" s="183"/>
      <x:c r="L26" s="183"/>
      <x:c r="M26" s="183"/>
    </x:row>
    <x:row r="27">
      <x:c r="A27" s="32" t="n">
        <x:v>2027</x:v>
      </x:c>
      <x:c r="B27" s="165" t="n">
        <x:v>750</x:v>
      </x:c>
      <x:c r="C27" s="165" t="n">
        <x:v>40</x:v>
      </x:c>
      <x:c r="D27" s="166" t="n">
        <x:v>0.053</x:v>
      </x:c>
      <x:c r="F27" s="183"/>
      <x:c r="G27" s="183"/>
      <x:c r="H27" s="183"/>
      <x:c r="I27" s="183"/>
      <x:c r="J27" s="183"/>
      <x:c r="K27" s="183"/>
      <x:c r="L27" s="183"/>
      <x:c r="M27" s="183"/>
    </x:row>
    <x:row r="28">
      <x:c r="A28" s="32" t="n">
        <x:v>2028</x:v>
      </x:c>
      <x:c r="B28" s="165" t="n">
        <x:v>1100</x:v>
      </x:c>
      <x:c r="C28" s="165" t="n">
        <x:v>90</x:v>
      </x:c>
      <x:c r="D28" s="166" t="n">
        <x:v>0.082</x:v>
      </x:c>
      <x:c r="F28" s="183"/>
      <x:c r="G28" s="183"/>
      <x:c r="H28" s="183"/>
      <x:c r="I28" s="183"/>
      <x:c r="J28" s="183"/>
      <x:c r="K28" s="183"/>
      <x:c r="L28" s="183"/>
      <x:c r="M28" s="183"/>
    </x:row>
    <x:row r="29">
      <x:c r="A29" s="32" t="n">
        <x:v>2029</x:v>
      </x:c>
      <x:c r="B29" s="165" t="n">
        <x:v>1550</x:v>
      </x:c>
      <x:c r="C29" s="165" t="n">
        <x:v>170</x:v>
      </x:c>
      <x:c r="D29" s="166" t="n">
        <x:v>0.11</x:v>
      </x:c>
      <x:c r="F29" s="183"/>
      <x:c r="G29" s="183"/>
      <x:c r="H29" s="183"/>
      <x:c r="I29" s="183"/>
      <x:c r="J29" s="183"/>
      <x:c r="K29" s="183"/>
      <x:c r="L29" s="183"/>
      <x:c r="M29" s="183"/>
    </x:row>
    <x:row r="30">
      <x:c r="A30" s="32" t="n">
        <x:v>2030</x:v>
      </x:c>
      <x:c r="B30" s="165" t="n">
        <x:v>2100</x:v>
      </x:c>
      <x:c r="C30" s="165" t="n">
        <x:v>300</x:v>
      </x:c>
      <x:c r="D30" s="166" t="n">
        <x:v>0.143</x:v>
      </x:c>
      <x:c r="F30" s="183"/>
      <x:c r="G30" s="183"/>
      <x:c r="H30" s="183"/>
      <x:c r="I30" s="183"/>
      <x:c r="J30" s="183"/>
      <x:c r="K30" s="183"/>
      <x:c r="L30" s="183"/>
      <x:c r="M30" s="183"/>
    </x:row>
    <x:row r="33" ht="22" customHeight="1">
      <x:c r="A33" s="10" t="str">
        <x:v>2030E期权估值</x:v>
      </x:c>
      <x:c r="B33" s="10"/>
      <x:c r="C33" s="10"/>
      <x:c r="D33" s="10"/>
      <x:c r="E33" s="10"/>
      <x:c r="F33" s="10"/>
      <x:c r="G33" s="10"/>
      <x:c r="H33" s="10"/>
      <x:c r="I33" s="10"/>
      <x:c r="J33" s="10"/>
      <x:c r="K33" s="10"/>
    </x:row>
    <x:row r="34">
      <x:c r="A34" s="26" t="str">
        <x:v>期权</x:v>
      </x:c>
      <x:c r="B34" s="26" t="str">
        <x:v>2030E可触及收入</x:v>
      </x:c>
      <x:c r="C34" s="26" t="str">
        <x:v>实现率</x:v>
      </x:c>
      <x:c r="D34" s="26" t="str">
        <x:v>实现收入</x:v>
      </x:c>
      <x:c r="E34" s="26" t="str">
        <x:v>P/S</x:v>
      </x:c>
      <x:c r="F34" s="26" t="str">
        <x:v>未来企业价值</x:v>
      </x:c>
      <x:c r="G34" s="26" t="str">
        <x:v>权益比例</x:v>
      </x:c>
      <x:c r="H34" s="26" t="str">
        <x:v>未来权益价值</x:v>
      </x:c>
      <x:c r="I34" s="26" t="str">
        <x:v>折现率</x:v>
      </x:c>
      <x:c r="J34" s="26" t="str">
        <x:v>折现期</x:v>
      </x:c>
      <x:c r="K34" s="26" t="str">
        <x:v>折现后权益价值</x:v>
      </x:c>
    </x:row>
    <x:row r="35">
      <x:c r="A35" s="32" t="str">
        <x:v>机器人腱绳</x:v>
      </x:c>
      <x:c r="B35" s="33" t="n">
        <x:v>2101.5</x:v>
      </x:c>
      <x:c r="C35" s="55" t="n">
        <x:v>0.2</x:v>
      </x:c>
      <x:c r="D35" s="165" t="n">
        <x:f>B35*C35</x:f>
        <x:v>420.3</x:v>
      </x:c>
      <x:c r="E35" s="152" t="n">
        <x:v>4.5</x:v>
      </x:c>
      <x:c r="F35" s="165" t="n">
        <x:f>D35*E35</x:f>
        <x:v>1891.3500000000001</x:v>
      </x:c>
      <x:c r="G35" s="55" t="n">
        <x:v>1</x:v>
      </x:c>
      <x:c r="H35" s="165" t="n">
        <x:f>F35*G35</x:f>
        <x:v>1891.3500000000001</x:v>
      </x:c>
      <x:c r="I35" s="55" t="n">
        <x:v>0.15</x:v>
      </x:c>
      <x:c r="J35" s="153" t="n">
        <x:v>4</x:v>
      </x:c>
      <x:c r="K35" s="165" t="n">
        <x:f>H35/(1+I35)^J35</x:f>
        <x:v>1081.3855010523837</x:v>
      </x:c>
    </x:row>
    <x:row r="36">
      <x:c r="A36" s="32" t="str">
        <x:v>玻璃基板</x:v>
      </x:c>
      <x:c r="B36" s="33" t="n">
        <x:v>50.4</x:v>
      </x:c>
      <x:c r="C36" s="55" t="n">
        <x:v>0.35</x:v>
      </x:c>
      <x:c r="D36" s="165" t="n">
        <x:f>B36*C36</x:f>
        <x:v>17.639999999999997</x:v>
      </x:c>
      <x:c r="E36" s="152" t="n">
        <x:v>5</x:v>
      </x:c>
      <x:c r="F36" s="165" t="n">
        <x:f>D36*E36</x:f>
        <x:v>88.19999999999999</x:v>
      </x:c>
      <x:c r="G36" s="55" t="n">
        <x:v>1</x:v>
      </x:c>
      <x:c r="H36" s="165" t="n">
        <x:f>F36*G36</x:f>
        <x:v>88.19999999999999</x:v>
      </x:c>
      <x:c r="I36" s="55" t="n">
        <x:v>0.15</x:v>
      </x:c>
      <x:c r="J36" s="153" t="n">
        <x:v>4</x:v>
      </x:c>
      <x:c r="K36" s="165" t="n">
        <x:f>H36/(1+I36)^J36</x:f>
        <x:v>50.428636261305535</x:v>
      </x:c>
    </x:row>
    <x:row r="37">
      <x:c r="A37" s="32" t="str">
        <x:v>金刚石铜散热</x:v>
      </x:c>
      <x:c r="B37" s="33" t="n">
        <x:v>316.8</x:v>
      </x:c>
      <x:c r="C37" s="55" t="n">
        <x:v>0.25</x:v>
      </x:c>
      <x:c r="D37" s="165" t="n">
        <x:f>B37*C37</x:f>
        <x:v>79.2</x:v>
      </x:c>
      <x:c r="E37" s="152" t="n">
        <x:v>5</x:v>
      </x:c>
      <x:c r="F37" s="165" t="n">
        <x:f>D37*E37</x:f>
        <x:v>396</x:v>
      </x:c>
      <x:c r="G37" s="55" t="n">
        <x:v>1</x:v>
      </x:c>
      <x:c r="H37" s="165" t="n">
        <x:f>F37*G37</x:f>
        <x:v>396</x:v>
      </x:c>
      <x:c r="I37" s="55" t="n">
        <x:v>0.15</x:v>
      </x:c>
      <x:c r="J37" s="153" t="n">
        <x:v>4</x:v>
      </x:c>
      <x:c r="K37" s="165" t="n">
        <x:f>H37/(1+I37)^J37</x:f>
        <x:v>226.41428525484122</x:v>
      </x:c>
    </x:row>
    <x:row r="38">
      <x:c r="A38" s="142" t="str">
        <x:v>耕驰新能源</x:v>
      </x:c>
      <x:c r="B38" s="142" t="n">
        <x:v>300</x:v>
      </x:c>
      <x:c r="C38" s="205" t="n">
        <x:v>0.45</x:v>
      </x:c>
      <x:c r="D38" s="142" t="n">
        <x:f>B38*C38</x:f>
        <x:v>135</x:v>
      </x:c>
      <x:c r="E38" s="206" t="n">
        <x:v>3.5</x:v>
      </x:c>
      <x:c r="F38" s="142" t="n">
        <x:f>D38*E38</x:f>
        <x:v>472.5</x:v>
      </x:c>
      <x:c r="G38" s="205" t="n">
        <x:v>0.35</x:v>
      </x:c>
      <x:c r="H38" s="145" t="n">
        <x:f>F38*G38</x:f>
        <x:v>165.375</x:v>
      </x:c>
      <x:c r="I38" s="205" t="n">
        <x:v>0.15</x:v>
      </x:c>
      <x:c r="J38" s="207" t="n">
        <x:v>4</x:v>
      </x:c>
      <x:c r="K38" s="145" t="n">
        <x:f>H38/(1+I38)^J38</x:f>
        <x:v>94.55369298994789</x:v>
      </x:c>
    </x:row>
    <x:row r="39">
      <x:c r="A39" t="str">
        <x:v>合计</x:v>
      </x:c>
      <x:c r="B39"/>
      <x:c r="C39"/>
      <x:c r="D39"/>
      <x:c r="E39"/>
      <x:c r="F39"/>
      <x:c r="G39"/>
      <x:c r="H39" t="n">
        <x:f>SUM(H35:H38)</x:f>
        <x:v>2540.925</x:v>
      </x:c>
      <x:c r="I39"/>
      <x:c r="J39"/>
      <x:c r="K39" t="n">
        <x:f>SUM(K35:K38)</x:f>
        <x:v>1452.7821155584782</x:v>
      </x:c>
    </x:row>
    <x:row r="40" ht="22" customHeight="1">
      <x:c r="A40" s="10" t="str">
        <x:v>每股价值桥</x:v>
      </x:c>
      <x:c r="B40" s="10"/>
      <x:c r="C40" s="10"/>
      <x:c r="D40" s="10"/>
      <x:c r="E40" s="10"/>
      <x:c r="F40" s="10"/>
      <x:c r="G40" s="10"/>
      <x:c r="H40" s="10"/>
      <x:c r="I40" s="10"/>
      <x:c r="J40" s="10"/>
      <x:c r="K40" s="10"/>
    </x:row>
    <x:row r="41">
      <x:c r="A41" s="26" t="str">
        <x:v>指标</x:v>
      </x:c>
      <x:c r="B41" s="26" t="str">
        <x:v>数值</x:v>
      </x:c>
    </x:row>
    <x:row r="42">
      <x:c r="A42" s="32" t="str">
        <x:v>主业隐含价格（元/股）</x:v>
      </x:c>
      <x:c r="B42" s="189" t="n">
        <x:f>'分部估值'!B15</x:f>
        <x:v>32.00990445700988</x:v>
      </x:c>
    </x:row>
    <x:row r="43">
      <x:c r="A43" s="32" t="str">
        <x:v>远期期权现值（百万元）</x:v>
      </x:c>
      <x:c r="B43" s="189" t="n">
        <x:f>K39</x:f>
        <x:v>1452.7821155584782</x:v>
      </x:c>
    </x:row>
    <x:row r="44">
      <x:c r="A44" s="32" t="str">
        <x:v>总股本（百万股）</x:v>
      </x:c>
      <x:c r="B44" s="189" t="n">
        <x:f>'核心假设'!J38</x:f>
        <x:v>397.028823</x:v>
      </x:c>
    </x:row>
    <x:row r="45">
      <x:c r="A45" s="114" t="str">
        <x:v>期权每股价值（元/股）</x:v>
      </x:c>
      <x:c r="B45" s="188" t="n">
        <x:f>B43/B44</x:f>
        <x:v>3.6591351342733076</x:v>
      </x:c>
    </x:row>
    <x:row r="46">
      <x:c r="A46" s="114" t="str">
        <x:v>核心+期权价值（元/股，2026年末）</x:v>
      </x:c>
      <x:c r="B46" s="188" t="n">
        <x:f>B42+B45</x:f>
        <x:v>35.66903959128319</x:v>
      </x:c>
    </x:row>
    <x:row r="48" ht="22" customHeight="1">
      <x:c r="A48" s="10" t="str">
        <x:v>网页增长路径</x:v>
      </x:c>
      <x:c r="B48" s="10"/>
      <x:c r="C48" s="10"/>
      <x:c r="D48" s="10"/>
      <x:c r="E48" s="10"/>
      <x:c r="F48" s="10"/>
      <x:c r="G48" s="10"/>
      <x:c r="H48" s="10"/>
      <x:c r="I48" s="10"/>
      <x:c r="J48" s="10"/>
      <x:c r="K48" s="10"/>
      <x:c r="L48" s="10"/>
      <x:c r="M48" s="10"/>
    </x:row>
    <x:row r="49">
      <x:c r="A49" s="26" t="str">
        <x:v>方向</x:v>
      </x:c>
      <x:c r="B49" s="26"/>
      <x:c r="C49" s="26" t="str">
        <x:v>阶段</x:v>
      </x:c>
      <x:c r="D49" s="26"/>
      <x:c r="E49" s="26" t="str">
        <x:v>核心逻辑</x:v>
      </x:c>
      <x:c r="F49" s="26"/>
      <x:c r="G49" s="26"/>
      <x:c r="H49" s="26" t="str">
        <x:v>关键指标</x:v>
      </x:c>
      <x:c r="I49" s="26"/>
      <x:c r="J49" s="26"/>
      <x:c r="K49" s="26" t="str">
        <x:v>验证步骤</x:v>
      </x:c>
      <x:c r="L49" s="26"/>
      <x:c r="M49" s="26"/>
    </x:row>
    <x:row r="50" ht="66" customHeight="1">
      <x:c r="A50" s="39" t="str">
        <x:v>石材与磁材：非光伏金刚线的近期底座</x:v>
      </x:c>
      <x:c r="B50" s="39"/>
      <x:c r="C50" s="39" t="str">
        <x:v>NEAR-TERM COMMERCIAL</x:v>
      </x:c>
      <x:c r="D50" s="39"/>
      <x:c r="E50" s="39" t="str">
        <x:v>石材线切同时改善高价值荒料的出材率、加工工序与环保表现；磁材则承接无线充和新能源汽车永磁电机的钕铁硼切割需求。2025年起石材设备厂商加速进入，岱勒当前聚焦供线而非重启自研大型设备。</x:v>
      </x:c>
      <x:c r="F50" s="39"/>
      <x:c r="G50" s="39"/>
      <x:c r="H50" s="39" t="str">
        <x:v>10% → 30% 2024—2025非光伏线收入占比；&gt;40% 2026经营计划占比目标</x:v>
      </x:c>
      <x:c r="I50" s="39"/>
      <x:c r="J50" s="39"/>
      <x:c r="K50" s="39" t="str">
        <x:v>供线放量 → 粗线产品结构提升 → 海外矿山与加工场景复制</x:v>
      </x:c>
      <x:c r="L50" s="39"/>
      <x:c r="M50" s="39"/>
    </x:row>
    <x:row r="51" ht="66" customHeight="1">
      <x:c r="A51" s="39" t="str">
        <x:v>金属切割与超细钨丝：同源工艺向新终端迁移</x:v>
      </x:c>
      <x:c r="B51" s="39"/>
      <x:c r="C51" s="39" t="str">
        <x:v>PROCESS MIGRATION</x:v>
      </x:c>
      <x:c r="D51" s="39"/>
      <x:c r="E51" s="39" t="str">
        <x:v>金属3D打印件方案已进入与大族激光的商务讨论，并配合华曙高科制作展示样机；超细钨丝在宇树科技等机器人场景多轮测试，并向汽车透明加热和医疗机器人传动拓展。兑现取决于路线审批、行业标准与客户定点。</x:v>
      </x:c>
      <x:c r="F51" s="39"/>
      <x:c r="G51" s="39"/>
      <x:c r="H51" s="39" t="str">
        <x:v>&gt;8h → &lt;2h 金属3D打印件单件切割用时；约49根 单根机器人腱绳细丝构成</x:v>
      </x:c>
      <x:c r="I51" s="39"/>
      <x:c r="J51" s="39"/>
      <x:c r="K51" s="39" t="str">
        <x:v>展示样机 → 系统验证 → 规格收敛 / 量产定点</x:v>
      </x:c>
      <x:c r="L51" s="39"/>
      <x:c r="M51" s="39"/>
    </x:row>
    <x:row r="52" ht="66" customHeight="1">
      <x:c r="A52" s="39" t="str">
        <x:v>氢能与液流储能：先以投资收益观察产业化</x:v>
      </x:c>
      <x:c r="B52" s="39"/>
      <x:c r="C52" s="39" t="str">
        <x:v>EQUITY OPTIONALITY</x:v>
      </x:c>
      <x:c r="D52" s="39"/>
      <x:c r="E52" s="39" t="str">
        <x:v>参股平台同时布局燃料电池复合石墨双极板与液流电池一体化流道板，验证或推进范围覆盖亿华通、重塑能源、上海电气、东方电气等产业链客户。储能节奏更快，但一致性、良率和扩产资金决定盈利兑现；近端先按投资收益观察。</x:v>
      </x:c>
      <x:c r="F52" s="39"/>
      <x:c r="G52" s="39"/>
      <x:c r="H52" s="39" t="str">
        <x:v>约6年 复合双极板研发验证周期；2026起 产业化与扩产阶段</x:v>
      </x:c>
      <x:c r="I52" s="39"/>
      <x:c r="J52" s="39"/>
      <x:c r="K52" s="39" t="str">
        <x:v>客户验证 → 小批量交付 → 良率稳定 → 规模化 / 并表评估</x:v>
      </x:c>
      <x:c r="L52" s="39"/>
      <x:c r="M52" s="39"/>
    </x:row>
    <x:row r="53" ht="66" customHeight="1">
      <x:c r="A53" s="39" t="str">
        <x:v>半导体与AI材料：CMP、散热、高纯石英三条远期线索</x:v>
      </x:c>
      <x:c r="B53" s="39"/>
      <x:c r="C53" s="39" t="str">
        <x:v>LONG-DURATION OPTIONS</x:v>
      </x:c>
      <x:c r="D53" s="39"/>
      <x:c r="E53" s="39" t="str">
        <x:v>消费电子磨抛材料向玻璃基板CMP迁移，产业交流涉及京东方、康宁、帝科股份和帝尔激光；金刚石铜复合材料受益于AI热管理需求，黎辉高纯石英则保留向半导体级产品升级的路径。这些方向采用里程碑而非近两年收入目标跟踪。</x:v>
      </x:c>
      <x:c r="F53" s="39"/>
      <x:c r="G53" s="39"/>
      <x:c r="H53" s="39" t="str">
        <x:v>微米 → 纳米 磨抛精度迁移方向；约5N 高纯石英调研技术信号</x:v>
      </x:c>
      <x:c r="I53" s="39"/>
      <x:c r="J53" s="39"/>
      <x:c r="K53" s="39" t="str">
        <x:v>样品 / 配方 → 客户验证 → 小批量 → 资本开支与量产</x:v>
      </x:c>
      <x:c r="L53" s="39"/>
      <x:c r="M53" s="39"/>
    </x:row>
    <x:row r="55" ht="22" customHeight="1">
      <x:c r="A55" s="10" t="str">
        <x:v>增长点成熟度全景</x:v>
      </x:c>
      <x:c r="B55" s="10"/>
      <x:c r="C55" s="10"/>
      <x:c r="D55" s="10"/>
      <x:c r="E55" s="10"/>
      <x:c r="F55" s="10"/>
      <x:c r="G55" s="10"/>
      <x:c r="H55" s="10"/>
      <x:c r="I55" s="10"/>
      <x:c r="J55" s="10"/>
      <x:c r="K55" s="10"/>
      <x:c r="L55" s="10"/>
      <x:c r="M55" s="10"/>
    </x:row>
    <x:row r="56">
      <x:c r="A56" s="26" t="str">
        <x:v>方向</x:v>
      </x:c>
      <x:c r="B56" s="26"/>
      <x:c r="C56" s="26" t="str">
        <x:v>类别</x:v>
      </x:c>
      <x:c r="D56" s="26"/>
      <x:c r="E56" s="26" t="str">
        <x:v>成熟度</x:v>
      </x:c>
      <x:c r="F56" s="26" t="str">
        <x:v>阶段</x:v>
      </x:c>
      <x:c r="G56" s="26"/>
      <x:c r="H56" s="26" t="str">
        <x:v>产业信号</x:v>
      </x:c>
      <x:c r="I56" s="26"/>
      <x:c r="J56" s="26"/>
      <x:c r="K56" s="26" t="str">
        <x:v>下一里程碑</x:v>
      </x:c>
      <x:c r="L56" s="26"/>
      <x:c r="M56" s="26" t="str">
        <x:v>来源</x:v>
      </x:c>
    </x:row>
    <x:row r="57" ht="46" customHeight="1">
      <x:c r="A57" s="39" t="str">
        <x:v>石材切割</x:v>
      </x:c>
      <x:c r="B57" s="39"/>
      <x:c r="C57" s="39" t="str">
        <x:v>金刚石线</x:v>
      </x:c>
      <x:c r="D57" s="39"/>
      <x:c r="E57" s="190" t="n">
        <x:v>4</x:v>
      </x:c>
      <x:c r="F57" s="39" t="str">
        <x:v>需求放量 / 持续供线</x:v>
      </x:c>
      <x:c r="G57" s="39"/>
      <x:c r="H57" s="39" t="str">
        <x:v>高价值石材的出材率、工序与环保改善共同驱动线切替代。</x:v>
      </x:c>
      <x:c r="I57" s="39"/>
      <x:c r="J57" s="39"/>
      <x:c r="K57" s="39" t="str">
        <x:v>非光伏收入占比继续提升</x:v>
      </x:c>
      <x:c r="L57" s="39"/>
      <x:c r="M57" s="39" t="str">
        <x:v>调研信息</x:v>
      </x:c>
    </x:row>
    <x:row r="58" ht="46" customHeight="1">
      <x:c r="A58" s="39" t="str">
        <x:v>磁材切割</x:v>
      </x:c>
      <x:c r="B58" s="39"/>
      <x:c r="C58" s="39" t="str">
        <x:v>金刚石线</x:v>
      </x:c>
      <x:c r="D58" s="39"/>
      <x:c r="E58" s="190" t="n">
        <x:v>4</x:v>
      </x:c>
      <x:c r="F58" s="39" t="str">
        <x:v>存量商业化</x:v>
      </x:c>
      <x:c r="G58" s="39"/>
      <x:c r="H58" s="39" t="str">
        <x:v>覆盖无线充与新能源汽车永磁电机所用钕铁硼材料。</x:v>
      </x:c>
      <x:c r="I58" s="39"/>
      <x:c r="J58" s="39"/>
      <x:c r="K58" s="39" t="str">
        <x:v>高端磁材客户与份额扩张</x:v>
      </x:c>
      <x:c r="L58" s="39"/>
      <x:c r="M58" s="39" t="str">
        <x:v>调研信息</x:v>
      </x:c>
    </x:row>
    <x:row r="59" ht="46" customHeight="1">
      <x:c r="A59" s="39" t="str">
        <x:v>液流电池流道板</x:v>
      </x:c>
      <x:c r="B59" s="39"/>
      <x:c r="C59" s="39" t="str">
        <x:v>参股新材料</x:v>
      </x:c>
      <x:c r="D59" s="39"/>
      <x:c r="E59" s="190" t="n">
        <x:v>3.5</x:v>
      </x:c>
      <x:c r="F59" s="39" t="str">
        <x:v>产业化爬坡</x:v>
      </x:c>
      <x:c r="G59" s="39"/>
      <x:c r="H59" s="39" t="str">
        <x:v>粉体模压一体化形成流道，减少平板二次加工。</x:v>
      </x:c>
      <x:c r="I59" s="39"/>
      <x:c r="J59" s="39"/>
      <x:c r="K59" s="39" t="str">
        <x:v>良率、一致性与批量交付</x:v>
      </x:c>
      <x:c r="L59" s="39"/>
      <x:c r="M59" s="39" t="str">
        <x:v>调研信息</x:v>
      </x:c>
    </x:row>
    <x:row r="60" ht="46" customHeight="1">
      <x:c r="A60" s="39" t="str">
        <x:v>玻璃 / 陶瓷切割</x:v>
      </x:c>
      <x:c r="B60" s="39"/>
      <x:c r="C60" s="39" t="str">
        <x:v>金刚石线</x:v>
      </x:c>
      <x:c r="D60" s="39"/>
      <x:c r="E60" s="190" t="n">
        <x:v>3.5</x:v>
      </x:c>
      <x:c r="F60" s="39" t="str">
        <x:v>工艺复制</x:v>
      </x:c>
      <x:c r="G60" s="39"/>
      <x:c r="H60" s="39" t="str">
        <x:v>消费电子量产验证为更多硬脆材料场景提供工艺样本。</x:v>
      </x:c>
      <x:c r="I60" s="39"/>
      <x:c r="J60" s="39"/>
      <x:c r="K60" s="39" t="str">
        <x:v>外部客户与独立订单</x:v>
      </x:c>
      <x:c r="L60" s="39"/>
      <x:c r="M60" s="39" t="str">
        <x:v>公开资料</x:v>
      </x:c>
    </x:row>
    <x:row r="61" ht="46" customHeight="1">
      <x:c r="A61" s="39" t="str">
        <x:v>燃料电池双极板</x:v>
      </x:c>
      <x:c r="B61" s="39"/>
      <x:c r="C61" s="39" t="str">
        <x:v>参股新材料</x:v>
      </x:c>
      <x:c r="D61" s="39"/>
      <x:c r="E61" s="190" t="n">
        <x:v>3</x:v>
      </x:c>
      <x:c r="F61" s="39" t="str">
        <x:v>验证通过 / 扩产准备</x:v>
      </x:c>
      <x:c r="G61" s="39"/>
      <x:c r="H61" s="39" t="str">
        <x:v>复合石墨双极板经历长期开发，多家客户进入验证或导入。</x:v>
      </x:c>
      <x:c r="I61" s="39"/>
      <x:c r="J61" s="39"/>
      <x:c r="K61" s="39" t="str">
        <x:v>规模订单与盈利稳定</x:v>
      </x:c>
      <x:c r="L61" s="39"/>
      <x:c r="M61" s="39" t="str">
        <x:v>调研信息</x:v>
      </x:c>
    </x:row>
    <x:row r="62" ht="46" customHeight="1">
      <x:c r="A62" s="39" t="str">
        <x:v>石墨 / 玉石切割</x:v>
      </x:c>
      <x:c r="B62" s="39"/>
      <x:c r="C62" s="39" t="str">
        <x:v>金刚石线</x:v>
      </x:c>
      <x:c r="D62" s="39"/>
      <x:c r="E62" s="190" t="n">
        <x:v>2.5</x:v>
      </x:c>
      <x:c r="F62" s="39" t="str">
        <x:v>场景拓展</x:v>
      </x:c>
      <x:c r="G62" s="39"/>
      <x:c r="H62" s="39" t="str">
        <x:v>从传统硬脆材料切割能力向高价值材料继续复制。</x:v>
      </x:c>
      <x:c r="I62" s="39"/>
      <x:c r="J62" s="39"/>
      <x:c r="K62" s="39" t="str">
        <x:v>形成可披露收入规模</x:v>
      </x:c>
      <x:c r="L62" s="39"/>
      <x:c r="M62" s="39" t="str">
        <x:v>调研信息</x:v>
      </x:c>
    </x:row>
    <x:row r="63" ht="46" customHeight="1">
      <x:c r="A63" s="39" t="str">
        <x:v>金属3D打印件切割</x:v>
      </x:c>
      <x:c r="B63" s="39"/>
      <x:c r="C63" s="39" t="str">
        <x:v>金刚石线</x:v>
      </x:c>
      <x:c r="D63" s="39"/>
      <x:c r="E63" s="190" t="n">
        <x:v>2</x:v>
      </x:c>
      <x:c r="F63" s="39" t="str">
        <x:v>技术路线验证</x:v>
      </x:c>
      <x:c r="G63" s="39"/>
      <x:c r="H63" s="39" t="str">
        <x:v>调研方案将单件切割时间由8小时以上压缩到2小时以内。</x:v>
      </x:c>
      <x:c r="I63" s="39"/>
      <x:c r="J63" s="39"/>
      <x:c r="K63" s="39" t="str">
        <x:v>路线审批、定点与设备订单</x:v>
      </x:c>
      <x:c r="L63" s="39"/>
      <x:c r="M63" s="39" t="str">
        <x:v>调研信息</x:v>
      </x:c>
    </x:row>
    <x:row r="64" ht="46" customHeight="1">
      <x:c r="A64" s="39" t="str">
        <x:v>机器人钨丝腱绳</x:v>
      </x:c>
      <x:c r="B64" s="39"/>
      <x:c r="C64" s="39" t="str">
        <x:v>超细钨丝</x:v>
      </x:c>
      <x:c r="D64" s="39"/>
      <x:c r="E64" s="190" t="n">
        <x:v>2</x:v>
      </x:c>
      <x:c r="F64" s="39" t="str">
        <x:v>多轮客户测试</x:v>
      </x:c>
      <x:c r="G64" s="39"/>
      <x:c r="H64" s="39" t="str">
        <x:v>单根腱绳由约49根超细钨丝绞合，兼顾强度与柔韧性。</x:v>
      </x:c>
      <x:c r="I64" s="39"/>
      <x:c r="J64" s="39"/>
      <x:c r="K64" s="39" t="str">
        <x:v>行业标准、系统验证与定点</x:v>
      </x:c>
      <x:c r="L64" s="39"/>
      <x:c r="M64" s="39" t="str">
        <x:v>调研信息</x:v>
      </x:c>
    </x:row>
    <x:row r="65" ht="46" customHeight="1">
      <x:c r="A65" s="39" t="str">
        <x:v>医疗机器人腱绳</x:v>
      </x:c>
      <x:c r="B65" s="39"/>
      <x:c r="C65" s="39" t="str">
        <x:v>超细钨丝</x:v>
      </x:c>
      <x:c r="D65" s="39"/>
      <x:c r="E65" s="190" t="n">
        <x:v>1.5</x:v>
      </x:c>
      <x:c r="F65" s="39" t="str">
        <x:v>应用交流</x:v>
      </x:c>
      <x:c r="G65" s="39"/>
      <x:c r="H65" s="39" t="str">
        <x:v>超细钨丝可向高弯折寿命的手术机器人传动场景延伸。</x:v>
      </x:c>
      <x:c r="I65" s="39"/>
      <x:c r="J65" s="39"/>
      <x:c r="K65" s="39" t="str">
        <x:v>海外认证与本地供应能力</x:v>
      </x:c>
      <x:c r="L65" s="39"/>
      <x:c r="M65" s="39" t="str">
        <x:v>调研信息</x:v>
      </x:c>
    </x:row>
    <x:row r="66" ht="46" customHeight="1">
      <x:c r="A66" s="39" t="str">
        <x:v>汽车隐形加热丝</x:v>
      </x:c>
      <x:c r="B66" s="39"/>
      <x:c r="C66" s="39" t="str">
        <x:v>超细钨丝</x:v>
      </x:c>
      <x:c r="D66" s="39"/>
      <x:c r="E66" s="190" t="n">
        <x:v>1</x:v>
      </x:c>
      <x:c r="F66" s="39" t="str">
        <x:v>应用定义</x:v>
      </x:c>
      <x:c r="G66" s="39"/>
      <x:c r="H66" s="39" t="str">
        <x:v>以更细、更隐形的钨丝替代可见铜线，实现玻璃加热。</x:v>
      </x:c>
      <x:c r="I66" s="39"/>
      <x:c r="J66" s="39"/>
      <x:c r="K66" s="39" t="str">
        <x:v>样品验证与量产规格</x:v>
      </x:c>
      <x:c r="L66" s="39"/>
      <x:c r="M66" s="39" t="str">
        <x:v>调研信息</x:v>
      </x:c>
    </x:row>
    <x:row r="67" ht="46" customHeight="1">
      <x:c r="A67" s="39" t="str">
        <x:v>玻璃基板CMP耗材</x:v>
      </x:c>
      <x:c r="B67" s="39"/>
      <x:c r="C67" s="39" t="str">
        <x:v>磨抛材料</x:v>
      </x:c>
      <x:c r="D67" s="39"/>
      <x:c r="E67" s="190" t="n">
        <x:v>1</x:v>
      </x:c>
      <x:c r="F67" s="39" t="str">
        <x:v>产业协作 / 产品定义</x:v>
      </x:c>
      <x:c r="G67" s="39"/>
      <x:c r="H67" s="39" t="str">
        <x:v>磨抛能力由消费电子微米级向半导体亚微米、纳米级迁移。</x:v>
      </x:c>
      <x:c r="I67" s="39"/>
      <x:c r="J67" s="39"/>
      <x:c r="K67" s="39" t="str">
        <x:v>配方验证与客户小批量</x:v>
      </x:c>
      <x:c r="L67" s="39"/>
      <x:c r="M67" s="39" t="str">
        <x:v>调研信息</x:v>
      </x:c>
    </x:row>
    <x:row r="68" ht="46" customHeight="1">
      <x:c r="A68" s="39" t="str">
        <x:v>金刚石铜散热材料</x:v>
      </x:c>
      <x:c r="B68" s="39"/>
      <x:c r="C68" s="39" t="str">
        <x:v>散热材料</x:v>
      </x:c>
      <x:c r="D68" s="39"/>
      <x:c r="E68" s="190" t="n">
        <x:v>1</x:v>
      </x:c>
      <x:c r="F68" s="39" t="str">
        <x:v>旧样品重新评估</x:v>
      </x:c>
      <x:c r="G68" s="39"/>
      <x:c r="H68" s="39" t="str">
        <x:v>AI算力密度提升重新打开高导热复合材料的应用窗口。</x:v>
      </x:c>
      <x:c r="I68" s="39"/>
      <x:c r="J68" s="39"/>
      <x:c r="K68" s="39" t="str">
        <x:v>热性能、封装验证与订单</x:v>
      </x:c>
      <x:c r="L68" s="39"/>
      <x:c r="M68" s="39" t="str">
        <x:v>调研信息</x:v>
      </x:c>
    </x:row>
    <x:row r="69" ht="46" customHeight="1">
      <x:c r="A69" s="39" t="str">
        <x:v>高纯石英</x:v>
      </x:c>
      <x:c r="B69" s="39"/>
      <x:c r="C69" s="39" t="str">
        <x:v>资源材料</x:v>
      </x:c>
      <x:c r="D69" s="39"/>
      <x:c r="E69" s="190" t="n">
        <x:v>2</x:v>
      </x:c>
      <x:c r="F69" s="39" t="str">
        <x:v>技术积累 / 产品升级</x:v>
      </x:c>
      <x:c r="G69" s="39"/>
      <x:c r="H69" s="39" t="str">
        <x:v>物理化学提纯路线保留向半导体级石英材料升级的可能。</x:v>
      </x:c>
      <x:c r="I69" s="39"/>
      <x:c r="J69" s="39"/>
      <x:c r="K69" s="39" t="str">
        <x:v>纯度稳定、坩埚验证与客户导入</x:v>
      </x:c>
      <x:c r="L69" s="39"/>
      <x:c r="M69" s="39" t="str">
        <x:v>调研信息</x:v>
      </x:c>
    </x:row>
  </x:sheetData>
  <x:mergeCells>
    <x:mergeCell ref="A1:M1"/>
    <x:mergeCell ref="A2:M2"/>
    <x:mergeCell ref="A4:M4"/>
    <x:mergeCell ref="A11:M12"/>
    <x:mergeCell ref="A14:M14"/>
    <x:mergeCell ref="A21:M22"/>
    <x:mergeCell ref="A24:D24"/>
    <x:mergeCell ref="F24:M30"/>
    <x:mergeCell ref="A33:K33"/>
    <x:mergeCell ref="A40:K40"/>
    <x:mergeCell ref="A48:M48"/>
    <x:mergeCell ref="A49:B49"/>
    <x:mergeCell ref="C49:D49"/>
    <x:mergeCell ref="E49:G49"/>
    <x:mergeCell ref="H49:J49"/>
    <x:mergeCell ref="K49:M49"/>
    <x:mergeCell ref="A50:B50"/>
    <x:mergeCell ref="C50:D50"/>
    <x:mergeCell ref="E50:G50"/>
    <x:mergeCell ref="H50:J50"/>
    <x:mergeCell ref="K50:M50"/>
    <x:mergeCell ref="A51:B51"/>
    <x:mergeCell ref="C51:D51"/>
    <x:mergeCell ref="E51:G51"/>
    <x:mergeCell ref="H51:J51"/>
    <x:mergeCell ref="K51:M51"/>
    <x:mergeCell ref="A52:B52"/>
    <x:mergeCell ref="C52:D52"/>
    <x:mergeCell ref="E52:G52"/>
    <x:mergeCell ref="H52:J52"/>
    <x:mergeCell ref="K52:M52"/>
    <x:mergeCell ref="A53:B53"/>
    <x:mergeCell ref="C53:D53"/>
    <x:mergeCell ref="E53:G53"/>
    <x:mergeCell ref="H53:J53"/>
    <x:mergeCell ref="K53:M53"/>
    <x:mergeCell ref="A55:M55"/>
    <x:mergeCell ref="A56:B56"/>
    <x:mergeCell ref="C56:D56"/>
    <x:mergeCell ref="F56:G56"/>
    <x:mergeCell ref="H56:J56"/>
    <x:mergeCell ref="K56:L56"/>
    <x:mergeCell ref="A57:B57"/>
    <x:mergeCell ref="C57:D57"/>
    <x:mergeCell ref="F57:G57"/>
    <x:mergeCell ref="H57:J57"/>
    <x:mergeCell ref="K57:L57"/>
    <x:mergeCell ref="A58:B58"/>
    <x:mergeCell ref="C58:D58"/>
    <x:mergeCell ref="F58:G58"/>
    <x:mergeCell ref="H58:J58"/>
    <x:mergeCell ref="K58:L58"/>
    <x:mergeCell ref="A59:B59"/>
    <x:mergeCell ref="C59:D59"/>
    <x:mergeCell ref="F59:G59"/>
    <x:mergeCell ref="H59:J59"/>
    <x:mergeCell ref="K59:L59"/>
    <x:mergeCell ref="A60:B60"/>
    <x:mergeCell ref="C60:D60"/>
    <x:mergeCell ref="F60:G60"/>
    <x:mergeCell ref="H60:J60"/>
    <x:mergeCell ref="K60:L60"/>
    <x:mergeCell ref="A61:B61"/>
    <x:mergeCell ref="C61:D61"/>
    <x:mergeCell ref="F61:G61"/>
    <x:mergeCell ref="H61:J61"/>
    <x:mergeCell ref="K61:L61"/>
    <x:mergeCell ref="A62:B62"/>
    <x:mergeCell ref="C62:D62"/>
    <x:mergeCell ref="F62:G62"/>
    <x:mergeCell ref="H62:J62"/>
    <x:mergeCell ref="K62:L62"/>
    <x:mergeCell ref="A63:B63"/>
    <x:mergeCell ref="C63:D63"/>
    <x:mergeCell ref="F63:G63"/>
    <x:mergeCell ref="H63:J63"/>
    <x:mergeCell ref="K63:L63"/>
    <x:mergeCell ref="A64:B64"/>
    <x:mergeCell ref="C64:D64"/>
    <x:mergeCell ref="F64:G64"/>
    <x:mergeCell ref="H64:J64"/>
    <x:mergeCell ref="K64:L64"/>
    <x:mergeCell ref="A65:B65"/>
    <x:mergeCell ref="C65:D65"/>
    <x:mergeCell ref="F65:G65"/>
    <x:mergeCell ref="H65:J65"/>
    <x:mergeCell ref="K65:L65"/>
    <x:mergeCell ref="A66:B66"/>
    <x:mergeCell ref="C66:D66"/>
    <x:mergeCell ref="F66:G66"/>
    <x:mergeCell ref="H66:J66"/>
    <x:mergeCell ref="K66:L66"/>
    <x:mergeCell ref="A67:B67"/>
    <x:mergeCell ref="C67:D67"/>
    <x:mergeCell ref="F67:G67"/>
    <x:mergeCell ref="H67:J67"/>
    <x:mergeCell ref="K67:L67"/>
    <x:mergeCell ref="A68:B68"/>
    <x:mergeCell ref="C68:D68"/>
    <x:mergeCell ref="F68:G68"/>
    <x:mergeCell ref="H68:J68"/>
    <x:mergeCell ref="K68:L68"/>
    <x:mergeCell ref="A69:B69"/>
    <x:mergeCell ref="C69:D69"/>
    <x:mergeCell ref="F69:G69"/>
    <x:mergeCell ref="H69:J69"/>
    <x:mergeCell ref="K69:L69"/>
  </x:mergeCells>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RowHeight="15"/>
  <x:cols>
    <x:col min="1" max="1" width="12" hidden="0" customWidth="1"/>
    <x:col min="2" max="2" width="30"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 min="17" max="17" width="15" hidden="0" customWidth="1"/>
    <x:col min="18" max="18" width="15" hidden="0" customWidth="1"/>
    <x:col min="19" max="19" width="15" hidden="0" customWidth="1"/>
    <x:col min="20" max="20" width="15" hidden="0" customWidth="1"/>
    <x:col min="21" max="21" width="11" hidden="0" customWidth="1"/>
  </x:cols>
  <x:sheetData>
    <x:row r="1" ht="30" customHeight="1">
      <x:c r="A1" s="3" t="str">
        <x:v>网页—Excel同步核对</x:v>
      </x:c>
      <x:c r="B1" s="3"/>
      <x:c r="C1" s="3"/>
      <x:c r="D1" s="3"/>
      <x:c r="E1" s="3"/>
      <x:c r="F1" s="3"/>
      <x:c r="G1" s="3"/>
      <x:c r="H1" s="3"/>
      <x:c r="I1" s="3"/>
      <x:c r="J1" s="3"/>
      <x:c r="K1" s="3"/>
      <x:c r="L1" s="3"/>
      <x:c r="M1" s="3"/>
      <x:c r="N1" s="3"/>
      <x:c r="O1" s="3"/>
      <x:c r="P1" s="3"/>
      <x:c r="Q1" s="3"/>
      <x:c r="R1" s="3"/>
      <x:c r="S1" s="3"/>
      <x:c r="T1" s="3"/>
      <x:c r="U1" s="3"/>
    </x:row>
    <x:row r="2" ht="28" customHeight="1">
      <x:c r="A2" s="7" t="str">
        <x:v>网页源：app/company/300700/data/index.ts；研究版本2026-08-26，资料更新至2026-08-26。绿色链接列为工作簿公式，差异列必须为0。</x:v>
      </x:c>
      <x:c r="B2" s="7"/>
      <x:c r="C2" s="7"/>
      <x:c r="D2" s="7"/>
      <x:c r="E2" s="7"/>
      <x:c r="F2" s="7"/>
      <x:c r="G2" s="7"/>
      <x:c r="H2" s="7"/>
      <x:c r="I2" s="7"/>
      <x:c r="J2" s="7"/>
      <x:c r="K2" s="7"/>
      <x:c r="L2" s="7"/>
      <x:c r="M2" s="7"/>
      <x:c r="N2" s="7"/>
      <x:c r="O2" s="7"/>
      <x:c r="P2" s="7"/>
      <x:c r="Q2" s="7"/>
      <x:c r="R2" s="7"/>
      <x:c r="S2" s="7"/>
      <x:c r="T2" s="7"/>
      <x:c r="U2" s="7"/>
    </x:row>
    <x:row r="4" ht="22" customHeight="1">
      <x:c r="A4" s="10" t="str">
        <x:v>三情景核心输出对账</x:v>
      </x:c>
      <x:c r="B4" s="10"/>
      <x:c r="C4" s="10"/>
      <x:c r="D4" s="10"/>
      <x:c r="E4" s="10"/>
      <x:c r="F4" s="10"/>
      <x:c r="G4" s="10"/>
      <x:c r="H4" s="10"/>
      <x:c r="I4" s="10"/>
      <x:c r="J4" s="10"/>
      <x:c r="K4" s="10"/>
      <x:c r="L4" s="10"/>
      <x:c r="M4" s="10"/>
      <x:c r="N4" s="10"/>
      <x:c r="O4" s="10"/>
      <x:c r="P4" s="10"/>
      <x:c r="Q4" s="10"/>
      <x:c r="R4" s="10"/>
      <x:c r="S4" s="10"/>
      <x:c r="T4" s="10"/>
      <x:c r="U4" s="10"/>
    </x:row>
    <x:row r="5">
      <x:c r="A5" s="26" t="str">
        <x:v>情景</x:v>
      </x:c>
      <x:c r="B5" s="26" t="str">
        <x:v>年份</x:v>
      </x:c>
      <x:c r="C5" s="26" t="str">
        <x:v>网页营业收入</x:v>
      </x:c>
      <x:c r="D5" s="26" t="str">
        <x:v>Excel营业收入</x:v>
      </x:c>
      <x:c r="E5" s="26" t="str">
        <x:v>差异</x:v>
      </x:c>
      <x:c r="F5" s="26" t="str">
        <x:v>网页归母净利润</x:v>
      </x:c>
      <x:c r="G5" s="26" t="str">
        <x:v>Excel归母净利润</x:v>
      </x:c>
      <x:c r="H5" s="26" t="str">
        <x:v>差异</x:v>
      </x:c>
      <x:c r="I5" s="26" t="str">
        <x:v>网页加工收入</x:v>
      </x:c>
      <x:c r="J5" s="26" t="str">
        <x:v>Excel加工收入</x:v>
      </x:c>
      <x:c r="K5" s="26" t="str">
        <x:v>差异</x:v>
      </x:c>
      <x:c r="L5" s="26" t="str">
        <x:v>网页设备收入</x:v>
      </x:c>
      <x:c r="M5" s="26" t="str">
        <x:v>Excel设备收入</x:v>
      </x:c>
      <x:c r="N5" s="26" t="str">
        <x:v>差异</x:v>
      </x:c>
      <x:c r="O5" s="26" t="str">
        <x:v>网页少数股东损益</x:v>
      </x:c>
      <x:c r="P5" s="26" t="str">
        <x:v>Excel少数股东损益</x:v>
      </x:c>
      <x:c r="Q5" s="26" t="str">
        <x:v>差异</x:v>
      </x:c>
      <x:c r="R5" s="26" t="str">
        <x:v>网页EPS</x:v>
      </x:c>
      <x:c r="S5" s="26" t="str">
        <x:v>Excel EPS</x:v>
      </x:c>
      <x:c r="T5" s="26" t="str">
        <x:v>差异</x:v>
      </x:c>
      <x:c r="U5" s="26" t="str">
        <x:v>状态</x:v>
      </x:c>
    </x:row>
    <x:row r="6">
      <x:c r="A6" s="32" t="str">
        <x:v>悲观</x:v>
      </x:c>
      <x:c r="B6" s="32" t="n">
        <x:v>2026</x:v>
      </x:c>
      <x:c r="C6" s="193" t="n">
        <x:v>490.03915000000006</x:v>
      </x:c>
      <x:c r="D6" s="194" t="n">
        <x:f>'分部预测'!B14</x:f>
        <x:v>490.03915</x:v>
      </x:c>
      <x:c r="E6" s="193" t="n">
        <x:f>D6-C6</x:f>
        <x:v>-5.684341886080802e-14</x:v>
      </x:c>
      <x:c r="F6" s="193" t="n">
        <x:v>5.920331038649991</x:v>
      </x:c>
      <x:c r="G6" s="194" t="n">
        <x:f>'分部预测'!B43</x:f>
        <x:v>5.920331038649984</x:v>
      </x:c>
      <x:c r="H6" s="193" t="n">
        <x:f>G6-F6</x:f>
        <x:v>-7.105427357601002e-15</x:v>
      </x:c>
      <x:c r="I6" s="193" t="n">
        <x:v>53.46000000000001</x:v>
      </x:c>
      <x:c r="J6" s="194" t="n">
        <x:f>'分部预测'!B7</x:f>
        <x:v>53.46000000000001</x:v>
      </x:c>
      <x:c r="K6" s="193" t="n">
        <x:f>J6-I6</x:f>
        <x:v>0</x:v>
      </x:c>
      <x:c r="L6" s="193" t="n">
        <x:v>0</x:v>
      </x:c>
      <x:c r="M6" s="194" t="n">
        <x:f>'分部预测'!B11</x:f>
        <x:v>0</x:v>
      </x:c>
      <x:c r="N6" s="193" t="n">
        <x:f>M6-L6</x:f>
        <x:v>0</x:v>
      </x:c>
      <x:c r="O6" s="193" t="n">
        <x:v>0.9861911999999999</x:v>
      </x:c>
      <x:c r="P6" s="194" t="n">
        <x:f>'分部预测'!B42</x:f>
        <x:v>0.9861911999999999</x:v>
      </x:c>
      <x:c r="Q6" s="193" t="n">
        <x:f>P6-O6</x:f>
        <x:v>0</x:v>
      </x:c>
      <x:c r="R6" s="193" t="n">
        <x:v>0.014911590029951027</x:v>
      </x:c>
      <x:c r="S6" s="194" t="n">
        <x:f>'分部预测'!B45</x:f>
        <x:v>0.01491159002995101</x:v>
      </x:c>
      <x:c r="T6" s="193" t="n">
        <x:f>S6-R6</x:f>
        <x:v>-1.734723475976807e-17</x:v>
      </x:c>
      <x:c r="U6" s="32" t="str">
        <x:f>IF(MAX(ABS(E6),ABS(H6),ABS(K6),ABS(N6),ABS(Q6),ABS(T6))&lt;=0.000001,"OK","CHECK")</x:f>
        <x:v>OK</x:v>
      </x:c>
    </x:row>
    <x:row r="7">
      <x:c r="A7" s="32" t="str">
        <x:v>悲观</x:v>
      </x:c>
      <x:c r="B7" s="32" t="n">
        <x:v>2027</x:v>
      </x:c>
      <x:c r="C7" s="193" t="n">
        <x:v>1866.2499050000001</x:v>
      </x:c>
      <x:c r="D7" s="194" t="n">
        <x:f>'分部预测'!C14</x:f>
        <x:v>1866.2499050000001</x:v>
      </x:c>
      <x:c r="E7" s="193" t="n">
        <x:f>D7-C7</x:f>
        <x:v>0</x:v>
      </x:c>
      <x:c r="F7" s="193" t="n">
        <x:v>148.67034725599996</x:v>
      </x:c>
      <x:c r="G7" s="194" t="n">
        <x:f>'分部预测'!C43</x:f>
        <x:v>148.67034725599996</x:v>
      </x:c>
      <x:c r="H7" s="193" t="n">
        <x:f>G7-F7</x:f>
        <x:v>0</x:v>
      </x:c>
      <x:c r="I7" s="193" t="n">
        <x:v>448.79670000000004</x:v>
      </x:c>
      <x:c r="J7" s="194" t="n">
        <x:f>'分部预测'!C7</x:f>
        <x:v>448.79670000000004</x:v>
      </x:c>
      <x:c r="K7" s="193" t="n">
        <x:f>J7-I7</x:f>
        <x:v>0</x:v>
      </x:c>
      <x:c r="L7" s="193" t="n">
        <x:v>600</x:v>
      </x:c>
      <x:c r="M7" s="194" t="n">
        <x:f>'分部预测'!C11</x:f>
        <x:v>600</x:v>
      </x:c>
      <x:c r="N7" s="193" t="n">
        <x:f>M7-L7</x:f>
        <x:v>0</x:v>
      </x:c>
      <x:c r="O7" s="193" t="n">
        <x:v>63.500879952000005</x:v>
      </x:c>
      <x:c r="P7" s="194" t="n">
        <x:f>'分部预测'!C42</x:f>
        <x:v>63.500879952000005</x:v>
      </x:c>
      <x:c r="Q7" s="193" t="n">
        <x:f>P7-O7</x:f>
        <x:v>0</x:v>
      </x:c>
      <x:c r="R7" s="193" t="n">
        <x:v>0.37445731554859923</x:v>
      </x:c>
      <x:c r="S7" s="194" t="n">
        <x:f>'分部预测'!C45</x:f>
        <x:v>0.37445731554859923</x:v>
      </x:c>
      <x:c r="T7" s="193" t="n">
        <x:f>S7-R7</x:f>
        <x:v>0</x:v>
      </x:c>
      <x:c r="U7" s="32" t="str">
        <x:f>IF(MAX(ABS(E7),ABS(H7),ABS(K7),ABS(N7),ABS(Q7),ABS(T7))&lt;=0.000001,"OK","CHECK")</x:f>
        <x:v>OK</x:v>
      </x:c>
    </x:row>
    <x:row r="8">
      <x:c r="A8" s="32" t="str">
        <x:v>悲观</x:v>
      </x:c>
      <x:c r="B8" s="32" t="n">
        <x:v>2028</x:v>
      </x:c>
      <x:c r="C8" s="193" t="n">
        <x:v>1998.27915</x:v>
      </x:c>
      <x:c r="D8" s="194" t="n">
        <x:f>'分部预测'!D14</x:f>
        <x:v>1998.2791499999998</x:v>
      </x:c>
      <x:c r="E8" s="193" t="n">
        <x:f>D8-C8</x:f>
        <x:v>-2.2737367544323206e-13</x:v>
      </x:c>
      <x:c r="F8" s="193" t="n">
        <x:v>186.28591119999996</x:v>
      </x:c>
      <x:c r="G8" s="194" t="n">
        <x:f>'分部预测'!D43</x:f>
        <x:v>186.28591119999996</x:v>
      </x:c>
      <x:c r="H8" s="193" t="n">
        <x:f>G8-F8</x:f>
        <x:v>0</x:v>
      </x:c>
      <x:c r="I8" s="193" t="n">
        <x:v>603.612</x:v>
      </x:c>
      <x:c r="J8" s="194" t="n">
        <x:f>'分部预测'!D7</x:f>
        <x:v>603.612</x:v>
      </x:c>
      <x:c r="K8" s="193" t="n">
        <x:f>J8-I8</x:f>
        <x:v>0</x:v>
      </x:c>
      <x:c r="L8" s="193" t="n">
        <x:v>503.99999999999994</x:v>
      </x:c>
      <x:c r="M8" s="194" t="n">
        <x:f>'分部预测'!D11</x:f>
        <x:v>503.99999999999994</x:v>
      </x:c>
      <x:c r="N8" s="193" t="n">
        <x:f>M8-L8</x:f>
        <x:v>0</x:v>
      </x:c>
      <x:c r="O8" s="193" t="n">
        <x:v>64.660032</x:v>
      </x:c>
      <x:c r="P8" s="194" t="n">
        <x:f>'分部预测'!D42</x:f>
        <x:v>64.660032</x:v>
      </x:c>
      <x:c r="Q8" s="193" t="n">
        <x:f>P8-O8</x:f>
        <x:v>0</x:v>
      </x:c>
      <x:c r="R8" s="193" t="n">
        <x:v>0.4691999683861742</x:v>
      </x:c>
      <x:c r="S8" s="194" t="n">
        <x:f>'分部预测'!D45</x:f>
        <x:v>0.4691999683861742</x:v>
      </x:c>
      <x:c r="T8" s="193" t="n">
        <x:f>S8-R8</x:f>
        <x:v>0</x:v>
      </x:c>
      <x:c r="U8" s="32" t="str">
        <x:f>IF(MAX(ABS(E8),ABS(H8),ABS(K8),ABS(N8),ABS(Q8),ABS(T8))&lt;=0.000001,"OK","CHECK")</x:f>
        <x:v>OK</x:v>
      </x:c>
    </x:row>
    <x:row r="9">
      <x:c r="A9" s="32" t="str">
        <x:v>悲观</x:v>
      </x:c>
      <x:c r="B9" s="32" t="n">
        <x:v>2029</x:v>
      </x:c>
      <x:c r="C9" s="193" t="n">
        <x:v>2335.298304</x:v>
      </x:c>
      <x:c r="D9" s="194" t="n">
        <x:f>'分部预测'!E14</x:f>
        <x:v>2335.298304</x:v>
      </x:c>
      <x:c r="E9" s="193" t="n">
        <x:f>D9-C9</x:f>
        <x:v>0</x:v>
      </x:c>
      <x:c r="F9" s="193" t="n">
        <x:v>246.35555737600004</x:v>
      </x:c>
      <x:c r="G9" s="194" t="n">
        <x:f>'分部预测'!E43</x:f>
        <x:v>246.3555573760001</x:v>
      </x:c>
      <x:c r="H9" s="193" t="n">
        <x:f>G9-F9</x:f>
        <x:v>5.684341886080802e-14</x:v>
      </x:c>
      <x:c r="I9" s="193" t="n">
        <x:v>752.7168</x:v>
      </x:c>
      <x:c r="J9" s="194" t="n">
        <x:f>'分部预测'!E7</x:f>
        <x:v>752.7168</x:v>
      </x:c>
      <x:c r="K9" s="193" t="n">
        <x:f>J9-I9</x:f>
        <x:v>0</x:v>
      </x:c>
      <x:c r="L9" s="193" t="n">
        <x:v>600</x:v>
      </x:c>
      <x:c r="M9" s="194" t="n">
        <x:f>'分部预测'!E11</x:f>
        <x:v>600</x:v>
      </x:c>
      <x:c r="N9" s="193" t="n">
        <x:f>M9-L9</x:f>
        <x:v>0</x:v>
      </x:c>
      <x:c r="O9" s="193" t="n">
        <x:v>81.64781568000001</x:v>
      </x:c>
      <x:c r="P9" s="194" t="n">
        <x:f>'分部预测'!E42</x:f>
        <x:v>81.64781568000001</x:v>
      </x:c>
      <x:c r="Q9" s="193" t="n">
        <x:f>P9-O9</x:f>
        <x:v>0</x:v>
      </x:c>
      <x:c r="R9" s="193" t="n">
        <x:v>0.6204979162835239</x:v>
      </x:c>
      <x:c r="S9" s="194" t="n">
        <x:f>'分部预测'!E45</x:f>
        <x:v>0.6204979162835241</x:v>
      </x:c>
      <x:c r="T9" s="193" t="n">
        <x:f>S9-R9</x:f>
        <x:v>2.220446049250313e-16</x:v>
      </x:c>
      <x:c r="U9" s="32" t="str">
        <x:f>IF(MAX(ABS(E9),ABS(H9),ABS(K9),ABS(N9),ABS(Q9),ABS(T9))&lt;=0.000001,"OK","CHECK")</x:f>
        <x:v>OK</x:v>
      </x:c>
    </x:row>
    <x:row r="10">
      <x:c r="A10" s="32" t="str">
        <x:v>悲观</x:v>
      </x:c>
      <x:c r="B10" s="32" t="n">
        <x:v>2030</x:v>
      </x:c>
      <x:c r="C10" s="193" t="n">
        <x:v>2400.229376</x:v>
      </x:c>
      <x:c r="D10" s="194" t="n">
        <x:f>'分部预测'!F14</x:f>
        <x:v>2400.2293760000002</x:v>
      </x:c>
      <x:c r="E10" s="193" t="n">
        <x:f>D10-C10</x:f>
        <x:v>4.547473508864641e-13</x:v>
      </x:c>
      <x:c r="F10" s="193" t="n">
        <x:v>279.41372085759997</x:v>
      </x:c>
      <x:c r="G10" s="194" t="n">
        <x:f>'分部预测'!F43</x:f>
        <x:v>279.41372085759997</x:v>
      </x:c>
      <x:c r="H10" s="193" t="n">
        <x:f>G10-F10</x:f>
        <x:v>0</x:v>
      </x:c>
      <x:c r="I10" s="193" t="n">
        <x:v>853.6320000000001</x:v>
      </x:c>
      <x:c r="J10" s="194" t="n">
        <x:f>'分部预测'!F7</x:f>
        <x:v>853.6320000000001</x:v>
      </x:c>
      <x:c r="K10" s="193" t="n">
        <x:f>J10-I10</x:f>
        <x:v>0</x:v>
      </x:c>
      <x:c r="L10" s="193" t="n">
        <x:v>550</x:v>
      </x:c>
      <x:c r="M10" s="194" t="n">
        <x:f>'分部预测'!F11</x:f>
        <x:v>550</x:v>
      </x:c>
      <x:c r="N10" s="193" t="n">
        <x:f>M10-L10</x:f>
        <x:v>0</x:v>
      </x:c>
      <x:c r="O10" s="193" t="n">
        <x:v>82.77086272</x:v>
      </x:c>
      <x:c r="P10" s="194" t="n">
        <x:f>'分部预测'!F42</x:f>
        <x:v>82.77086272</x:v>
      </x:c>
      <x:c r="Q10" s="193" t="n">
        <x:f>P10-O10</x:f>
        <x:v>0</x:v>
      </x:c>
      <x:c r="R10" s="193" t="n">
        <x:v>0.7037618043604859</x:v>
      </x:c>
      <x:c r="S10" s="194" t="n">
        <x:f>'分部预测'!F45</x:f>
        <x:v>0.7037618043604859</x:v>
      </x:c>
      <x:c r="T10" s="193" t="n">
        <x:f>S10-R10</x:f>
        <x:v>0</x:v>
      </x:c>
      <x:c r="U10" s="32" t="str">
        <x:f>IF(MAX(ABS(E10),ABS(H10),ABS(K10),ABS(N10),ABS(Q10),ABS(T10))&lt;=0.000001,"OK","CHECK")</x:f>
        <x:v>OK</x:v>
      </x:c>
    </x:row>
    <x:row r="11">
      <x:c r="A11" s="32" t="str">
        <x:v>基准</x:v>
      </x:c>
      <x:c r="B11" s="32" t="n">
        <x:v>2026</x:v>
      </x:c>
      <x:c r="C11" s="193" t="n">
        <x:v>665.461075</x:v>
      </x:c>
      <x:c r="D11" s="194" t="n">
        <x:f>'分部预测'!B63</x:f>
        <x:v>665.4610749999999</x:v>
      </x:c>
      <x:c r="E11" s="193" t="n">
        <x:f>D11-C11</x:f>
        <x:v>-1.1368683772161603e-13</x:v>
      </x:c>
      <x:c r="F11" s="193" t="n">
        <x:v>38.53719536400002</x:v>
      </x:c>
      <x:c r="G11" s="194" t="n">
        <x:f>'分部预测'!B92</x:f>
        <x:v>38.53719536400002</x:v>
      </x:c>
      <x:c r="H11" s="193" t="n">
        <x:f>G11-F11</x:f>
        <x:v>0</x:v>
      </x:c>
      <x:c r="I11" s="193" t="n">
        <x:v>98.35350000000001</x:v>
      </x:c>
      <x:c r="J11" s="194" t="n">
        <x:f>'分部预测'!B56</x:f>
        <x:v>98.35350000000001</x:v>
      </x:c>
      <x:c r="K11" s="193" t="n">
        <x:f>J11-I11</x:f>
        <x:v>0</x:v>
      </x:c>
      <x:c r="L11" s="193" t="n">
        <x:v>100</x:v>
      </x:c>
      <x:c r="M11" s="194" t="n">
        <x:f>'分部预测'!B60</x:f>
        <x:v>100</x:v>
      </x:c>
      <x:c r="N11" s="193" t="n">
        <x:f>M11-L11</x:f>
        <x:v>0</x:v>
      </x:c>
      <x:c r="O11" s="193" t="n">
        <x:v>8.25713491725</x:v>
      </x:c>
      <x:c r="P11" s="194" t="n">
        <x:f>'分部预测'!B91</x:f>
        <x:v>8.25713491725</x:v>
      </x:c>
      <x:c r="Q11" s="193" t="n">
        <x:f>P11-O11</x:f>
        <x:v>0</x:v>
      </x:c>
      <x:c r="R11" s="193" t="n">
        <x:v>0.09706397402790079</x:v>
      </x:c>
      <x:c r="S11" s="194" t="n">
        <x:f>'分部预测'!B94</x:f>
        <x:v>0.09706397402790079</x:v>
      </x:c>
      <x:c r="T11" s="193" t="n">
        <x:f>S11-R11</x:f>
        <x:v>0</x:v>
      </x:c>
      <x:c r="U11" s="32" t="str">
        <x:f>IF(MAX(ABS(E11),ABS(H11),ABS(K11),ABS(N11),ABS(Q11),ABS(T11))&lt;=0.000001,"OK","CHECK")</x:f>
        <x:v>OK</x:v>
      </x:c>
    </x:row>
    <x:row r="12">
      <x:c r="A12" s="32" t="str">
        <x:v>基准</x:v>
      </x:c>
      <x:c r="B12" s="32" t="n">
        <x:v>2027</x:v>
      </x:c>
      <x:c r="C12" s="193" t="n">
        <x:v>2864.3399999999997</x:v>
      </x:c>
      <x:c r="D12" s="194" t="n">
        <x:f>'分部预测'!C63</x:f>
        <x:v>2864.34</x:v>
      </x:c>
      <x:c r="E12" s="193" t="n">
        <x:f>D12-C12</x:f>
        <x:v>4.547473508864641e-13</x:v>
      </x:c>
      <x:c r="F12" s="193" t="n">
        <x:v>371.647872</x:v>
      </x:c>
      <x:c r="G12" s="194" t="n">
        <x:f>'分部预测'!C92</x:f>
        <x:v>371.6478719999999</x:v>
      </x:c>
      <x:c r="H12" s="193" t="n">
        <x:f>G12-F12</x:f>
        <x:v>-1.1368683772161603e-13</x:v>
      </x:c>
      <x:c r="I12" s="193" t="n">
        <x:v>655.1999999999999</x:v>
      </x:c>
      <x:c r="J12" s="194" t="n">
        <x:f>'分部预测'!C56</x:f>
        <x:v>655.1999999999999</x:v>
      </x:c>
      <x:c r="K12" s="193" t="n">
        <x:f>J12-I12</x:f>
        <x:v>0</x:v>
      </x:c>
      <x:c r="L12" s="193" t="n">
        <x:v>1200</x:v>
      </x:c>
      <x:c r="M12" s="194" t="n">
        <x:f>'分部预测'!C60</x:f>
        <x:v>1200</x:v>
      </x:c>
      <x:c r="N12" s="193" t="n">
        <x:f>M12-L12</x:f>
        <x:v>0</x:v>
      </x:c>
      <x:c r="O12" s="193" t="n">
        <x:v>152.278272</x:v>
      </x:c>
      <x:c r="P12" s="194" t="n">
        <x:f>'分部预测'!C91</x:f>
        <x:v>152.278272</x:v>
      </x:c>
      <x:c r="Q12" s="193" t="n">
        <x:f>P12-O12</x:f>
        <x:v>0</x:v>
      </x:c>
      <x:c r="R12" s="193" t="n">
        <x:v>0.9360727747466335</x:v>
      </x:c>
      <x:c r="S12" s="194" t="n">
        <x:f>'分部预测'!C94</x:f>
        <x:v>0.9360727747466332</x:v>
      </x:c>
      <x:c r="T12" s="193" t="n">
        <x:f>S12-R12</x:f>
        <x:v>-3.3306690738754696e-16</x:v>
      </x:c>
      <x:c r="U12" s="32" t="str">
        <x:f>IF(MAX(ABS(E12),ABS(H12),ABS(K12),ABS(N12),ABS(Q12),ABS(T12))&lt;=0.000001,"OK","CHECK")</x:f>
        <x:v>OK</x:v>
      </x:c>
    </x:row>
    <x:row r="13">
      <x:c r="A13" s="32" t="str">
        <x:v>基准</x:v>
      </x:c>
      <x:c r="B13" s="32" t="n">
        <x:v>2028</x:v>
      </x:c>
      <x:c r="C13" s="193" t="n">
        <x:v>3576.582344282353</x:v>
      </x:c>
      <x:c r="D13" s="194" t="n">
        <x:f>'分部预测'!D63</x:f>
        <x:v>3576.5823442823526</x:v>
      </x:c>
      <x:c r="E13" s="193" t="n">
        <x:f>D13-C13</x:f>
        <x:v>-4.547473508864641e-13</x:v>
      </x:c>
      <x:c r="F13" s="193" t="n">
        <x:v>510.84538912617404</x:v>
      </x:c>
      <x:c r="G13" s="194" t="n">
        <x:f>'分部预测'!D92</x:f>
        <x:v>510.84538912617404</x:v>
      </x:c>
      <x:c r="H13" s="193" t="n">
        <x:f>G13-F13</x:f>
        <x:v>0</x:v>
      </x:c>
      <x:c r="I13" s="193" t="n">
        <x:v>990.6623999999999</x:v>
      </x:c>
      <x:c r="J13" s="194" t="n">
        <x:f>'分部预测'!D56</x:f>
        <x:v>990.6623999999999</x:v>
      </x:c>
      <x:c r="K13" s="193" t="n">
        <x:f>J13-I13</x:f>
        <x:v>0</x:v>
      </x:c>
      <x:c r="L13" s="193" t="n">
        <x:v>1350</x:v>
      </x:c>
      <x:c r="M13" s="194" t="n">
        <x:f>'分部预测'!D60</x:f>
        <x:v>1350</x:v>
      </x:c>
      <x:c r="N13" s="193" t="n">
        <x:f>M13-L13</x:f>
        <x:v>0</x:v>
      </x:c>
      <x:c r="O13" s="193" t="n">
        <x:v>191.79479805741175</x:v>
      </x:c>
      <x:c r="P13" s="194" t="n">
        <x:f>'分部预测'!D91</x:f>
        <x:v>191.79479805741175</x:v>
      </x:c>
      <x:c r="Q13" s="193" t="n">
        <x:f>P13-O13</x:f>
        <x:v>0</x:v>
      </x:c>
      <x:c r="R13" s="193" t="n">
        <x:v>1.2866707894559435</x:v>
      </x:c>
      <x:c r="S13" s="194" t="n">
        <x:f>'分部预测'!D94</x:f>
        <x:v>1.2866707894559435</x:v>
      </x:c>
      <x:c r="T13" s="193" t="n">
        <x:f>S13-R13</x:f>
        <x:v>0</x:v>
      </x:c>
      <x:c r="U13" s="32" t="str">
        <x:f>IF(MAX(ABS(E13),ABS(H13),ABS(K13),ABS(N13),ABS(Q13),ABS(T13))&lt;=0.000001,"OK","CHECK")</x:f>
        <x:v>OK</x:v>
      </x:c>
    </x:row>
    <x:row r="14">
      <x:c r="A14" s="32" t="str">
        <x:v>基准</x:v>
      </x:c>
      <x:c r="B14" s="32" t="n">
        <x:v>2029</x:v>
      </x:c>
      <x:c r="C14" s="193" t="n">
        <x:v>4328.841727941176</x:v>
      </x:c>
      <x:c r="D14" s="194" t="n">
        <x:f>'分部预测'!E63</x:f>
        <x:v>4328.841727941177</x:v>
      </x:c>
      <x:c r="E14" s="193" t="n">
        <x:f>D14-C14</x:f>
        <x:v>9.094947017729282e-13</x:v>
      </x:c>
      <x:c r="F14" s="193" t="n">
        <x:v>657.2872463235296</x:v>
      </x:c>
      <x:c r="G14" s="194" t="n">
        <x:f>'分部预测'!E92</x:f>
        <x:v>657.2872463235294</x:v>
      </x:c>
      <x:c r="H14" s="193" t="n">
        <x:f>G14-F14</x:f>
        <x:v>-2.2737367544323206e-13</x:v>
      </x:c>
      <x:c r="I14" s="193" t="n">
        <x:v>1269.6750000000002</x:v>
      </x:c>
      <x:c r="J14" s="194" t="n">
        <x:f>'分部预测'!E56</x:f>
        <x:v>1269.6750000000002</x:v>
      </x:c>
      <x:c r="K14" s="193" t="n">
        <x:f>J14-I14</x:f>
        <x:v>0</x:v>
      </x:c>
      <x:c r="L14" s="193" t="n">
        <x:v>1560</x:v>
      </x:c>
      <x:c r="M14" s="194" t="n">
        <x:f>'分部预测'!E60</x:f>
        <x:v>1560</x:v>
      </x:c>
      <x:c r="N14" s="193" t="n">
        <x:f>M14-L14</x:f>
        <x:v>0</x:v>
      </x:c>
      <x:c r="O14" s="193" t="n">
        <x:v>239.03983235294118</x:v>
      </x:c>
      <x:c r="P14" s="194" t="n">
        <x:f>'分部预测'!E91</x:f>
        <x:v>239.03983235294118</x:v>
      </x:c>
      <x:c r="Q14" s="193" t="n">
        <x:f>P14-O14</x:f>
        <x:v>0</x:v>
      </x:c>
      <x:c r="R14" s="193" t="n">
        <x:v>1.655515187428923</x:v>
      </x:c>
      <x:c r="S14" s="194" t="n">
        <x:f>'分部预测'!E94</x:f>
        <x:v>1.6555151874289225</x:v>
      </x:c>
      <x:c r="T14" s="193" t="n">
        <x:f>S14-R14</x:f>
        <x:v>-4.440892098500626e-16</x:v>
      </x:c>
      <x:c r="U14" s="32" t="str">
        <x:f>IF(MAX(ABS(E14),ABS(H14),ABS(K14),ABS(N14),ABS(Q14),ABS(T14))&lt;=0.000001,"OK","CHECK")</x:f>
        <x:v>OK</x:v>
      </x:c>
    </x:row>
    <x:row r="15">
      <x:c r="A15" s="32" t="str">
        <x:v>基准</x:v>
      </x:c>
      <x:c r="B15" s="32" t="n">
        <x:v>2030</x:v>
      </x:c>
      <x:c r="C15" s="193" t="n">
        <x:v>5116.1553994823535</x:v>
      </x:c>
      <x:c r="D15" s="194" t="n">
        <x:f>'分部预测'!F63</x:f>
        <x:v>5116.1553994823535</x:v>
      </x:c>
      <x:c r="E15" s="193" t="n">
        <x:f>D15-C15</x:f>
        <x:v>0</x:v>
      </x:c>
      <x:c r="F15" s="193" t="n">
        <x:v>817.1168638637555</x:v>
      </x:c>
      <x:c r="G15" s="194" t="n">
        <x:f>'分部预测'!F92</x:f>
        <x:v>817.1168638637555</x:v>
      </x:c>
      <x:c r="H15" s="193" t="n">
        <x:f>G15-F15</x:f>
        <x:v>0</x:v>
      </x:c>
      <x:c r="I15" s="193" t="n">
        <x:v>1527.4116000000004</x:v>
      </x:c>
      <x:c r="J15" s="194" t="n">
        <x:f>'分部预测'!F56</x:f>
        <x:v>1527.4116000000004</x:v>
      </x:c>
      <x:c r="K15" s="193" t="n">
        <x:f>J15-I15</x:f>
        <x:v>0</x:v>
      </x:c>
      <x:c r="L15" s="193" t="n">
        <x:v>1600</x:v>
      </x:c>
      <x:c r="M15" s="194" t="n">
        <x:f>'分部预测'!F60</x:f>
        <x:v>1600</x:v>
      </x:c>
      <x:c r="N15" s="193" t="n">
        <x:f>M15-L15</x:f>
        <x:v>0</x:v>
      </x:c>
      <x:c r="O15" s="193" t="n">
        <x:v>281.9632614155294</x:v>
      </x:c>
      <x:c r="P15" s="194" t="n">
        <x:f>'分部预测'!F91</x:f>
        <x:v>281.9632614155294</x:v>
      </x:c>
      <x:c r="Q15" s="193" t="n">
        <x:f>P15-O15</x:f>
        <x:v>0</x:v>
      </x:c>
      <x:c r="R15" s="193" t="n">
        <x:v>2.0580794555153883</x:v>
      </x:c>
      <x:c r="S15" s="194" t="n">
        <x:f>'分部预测'!F94</x:f>
        <x:v>2.0580794555153883</x:v>
      </x:c>
      <x:c r="T15" s="193" t="n">
        <x:f>S15-R15</x:f>
        <x:v>0</x:v>
      </x:c>
      <x:c r="U15" s="32" t="str">
        <x:f>IF(MAX(ABS(E15),ABS(H15),ABS(K15),ABS(N15),ABS(Q15),ABS(T15))&lt;=0.000001,"OK","CHECK")</x:f>
        <x:v>OK</x:v>
      </x:c>
    </x:row>
    <x:row r="16">
      <x:c r="A16" s="32" t="str">
        <x:v>乐观</x:v>
      </x:c>
      <x:c r="B16" s="32" t="n">
        <x:v>2026</x:v>
      </x:c>
      <x:c r="C16" s="193" t="n">
        <x:v>1307.54137</x:v>
      </x:c>
      <x:c r="D16" s="194" t="n">
        <x:f>'分部预测'!B112</x:f>
        <x:v>1307.54137</x:v>
      </x:c>
      <x:c r="E16" s="193" t="n">
        <x:f>D16-C16</x:f>
        <x:v>0</x:v>
      </x:c>
      <x:c r="F16" s="193" t="n">
        <x:v>149.98720241699996</x:v>
      </x:c>
      <x:c r="G16" s="194" t="n">
        <x:f>'分部预测'!B141</x:f>
        <x:v>149.98720241699996</x:v>
      </x:c>
      <x:c r="H16" s="193" t="n">
        <x:f>G16-F16</x:f>
        <x:v>0</x:v>
      </x:c>
      <x:c r="I16" s="193" t="n">
        <x:v>415.24499999999995</x:v>
      </x:c>
      <x:c r="J16" s="194" t="n">
        <x:f>'分部预测'!B105</x:f>
        <x:v>415.24499999999995</x:v>
      </x:c>
      <x:c r="K16" s="193" t="n">
        <x:f>J16-I16</x:f>
        <x:v>0</x:v>
      </x:c>
      <x:c r="L16" s="193" t="n">
        <x:v>337.5</x:v>
      </x:c>
      <x:c r="M16" s="194" t="n">
        <x:f>'分部预测'!B109</x:f>
        <x:v>337.5</x:v>
      </x:c>
      <x:c r="N16" s="193" t="n">
        <x:f>M16-L16</x:f>
        <x:v>0</x:v>
      </x:c>
      <x:c r="O16" s="193" t="n">
        <x:v>34.49738564999999</x:v>
      </x:c>
      <x:c r="P16" s="194" t="n">
        <x:f>'分部预测'!B140</x:f>
        <x:v>34.49738564999999</x:v>
      </x:c>
      <x:c r="Q16" s="193" t="n">
        <x:f>P16-O16</x:f>
        <x:v>0</x:v>
      </x:c>
      <x:c r="R16" s="193" t="n">
        <x:v>0.377774090262963</x:v>
      </x:c>
      <x:c r="S16" s="194" t="n">
        <x:f>'分部预测'!B143</x:f>
        <x:v>0.377774090262963</x:v>
      </x:c>
      <x:c r="T16" s="193" t="n">
        <x:f>S16-R16</x:f>
        <x:v>0</x:v>
      </x:c>
      <x:c r="U16" s="32" t="str">
        <x:f>IF(MAX(ABS(E16),ABS(H16),ABS(K16),ABS(N16),ABS(Q16),ABS(T16))&lt;=0.000001,"OK","CHECK")</x:f>
        <x:v>OK</x:v>
      </x:c>
    </x:row>
    <x:row r="17">
      <x:c r="A17" s="32" t="str">
        <x:v>乐观</x:v>
      </x:c>
      <x:c r="B17" s="32" t="n">
        <x:v>2027</x:v>
      </x:c>
      <x:c r="C17" s="193" t="n">
        <x:v>3851.136</x:v>
      </x:c>
      <x:c r="D17" s="194" t="n">
        <x:f>'分部预测'!C112</x:f>
        <x:v>3851.136</x:v>
      </x:c>
      <x:c r="E17" s="193" t="n">
        <x:f>D17-C17</x:f>
        <x:v>0</x:v>
      </x:c>
      <x:c r="F17" s="193" t="n">
        <x:v>602.3532032000003</x:v>
      </x:c>
      <x:c r="G17" s="194" t="n">
        <x:f>'分部预测'!C141</x:f>
        <x:v>602.3532032</x:v>
      </x:c>
      <x:c r="H17" s="193" t="n">
        <x:f>G17-F17</x:f>
        <x:v>-2.2737367544323206e-13</x:v>
      </x:c>
      <x:c r="I17" s="193" t="n">
        <x:v>1020.6</x:v>
      </x:c>
      <x:c r="J17" s="194" t="n">
        <x:f>'分部预测'!C105</x:f>
        <x:v>1020.6</x:v>
      </x:c>
      <x:c r="K17" s="193" t="n">
        <x:f>J17-I17</x:f>
        <x:v>0</x:v>
      </x:c>
      <x:c r="L17" s="193" t="n">
        <x:v>1475</x:v>
      </x:c>
      <x:c r="M17" s="194" t="n">
        <x:f>'分部预测'!C109</x:f>
        <x:v>1475</x:v>
      </x:c>
      <x:c r="N17" s="193" t="n">
        <x:f>M17-L17</x:f>
        <x:v>0</x:v>
      </x:c>
      <x:c r="O17" s="193" t="n">
        <x:v>213.90419199999997</x:v>
      </x:c>
      <x:c r="P17" s="194" t="n">
        <x:f>'分部预测'!C140</x:f>
        <x:v>213.90419199999997</x:v>
      </x:c>
      <x:c r="Q17" s="193" t="n">
        <x:f>P17-O17</x:f>
        <x:v>0</x:v>
      </x:c>
      <x:c r="R17" s="193" t="n">
        <x:v>1.5171523282580426</x:v>
      </x:c>
      <x:c r="S17" s="194" t="n">
        <x:f>'分部预测'!C143</x:f>
        <x:v>1.5171523282580421</x:v>
      </x:c>
      <x:c r="T17" s="193" t="n">
        <x:f>S17-R17</x:f>
        <x:v>-4.440892098500626e-16</x:v>
      </x:c>
      <x:c r="U17" s="32" t="str">
        <x:f>IF(MAX(ABS(E17),ABS(H17),ABS(K17),ABS(N17),ABS(Q17),ABS(T17))&lt;=0.000001,"OK","CHECK")</x:f>
        <x:v>OK</x:v>
      </x:c>
    </x:row>
    <x:row r="18">
      <x:c r="A18" s="32" t="str">
        <x:v>乐观</x:v>
      </x:c>
      <x:c r="B18" s="32" t="n">
        <x:v>2028</x:v>
      </x:c>
      <x:c r="C18" s="193" t="n">
        <x:v>5193.7690175</x:v>
      </x:c>
      <x:c r="D18" s="194" t="n">
        <x:f>'分部预测'!D112</x:f>
        <x:v>5193.7690175</x:v>
      </x:c>
      <x:c r="E18" s="193" t="n">
        <x:f>D18-C18</x:f>
        <x:v>0</x:v>
      </x:c>
      <x:c r="F18" s="193" t="n">
        <x:v>858.2011132739998</x:v>
      </x:c>
      <x:c r="G18" s="194" t="n">
        <x:f>'分部预测'!D141</x:f>
        <x:v>858.2011132739998</x:v>
      </x:c>
      <x:c r="H18" s="193" t="n">
        <x:f>G18-F18</x:f>
        <x:v>0</x:v>
      </x:c>
      <x:c r="I18" s="193" t="n">
        <x:v>1390.9995</x:v>
      </x:c>
      <x:c r="J18" s="194" t="n">
        <x:f>'分部预测'!D105</x:f>
        <x:v>1390.9995</x:v>
      </x:c>
      <x:c r="K18" s="193" t="n">
        <x:f>J18-I18</x:f>
        <x:v>0</x:v>
      </x:c>
      <x:c r="L18" s="193" t="n">
        <x:v>1940</x:v>
      </x:c>
      <x:c r="M18" s="194" t="n">
        <x:f>'分部预测'!D109</x:f>
        <x:v>1940</x:v>
      </x:c>
      <x:c r="N18" s="193" t="n">
        <x:f>M18-L18</x:f>
        <x:v>0</x:v>
      </x:c>
      <x:c r="O18" s="193" t="n">
        <x:v>305.95934516</x:v>
      </x:c>
      <x:c r="P18" s="194" t="n">
        <x:f>'分部预测'!D140</x:f>
        <x:v>305.95934516</x:v>
      </x:c>
      <x:c r="Q18" s="193" t="n">
        <x:f>P18-O18</x:f>
        <x:v>0</x:v>
      </x:c>
      <x:c r="R18" s="193" t="n">
        <x:v>2.161558717045588</x:v>
      </x:c>
      <x:c r="S18" s="194" t="n">
        <x:f>'分部预测'!D143</x:f>
        <x:v>2.161558717045588</x:v>
      </x:c>
      <x:c r="T18" s="193" t="n">
        <x:f>S18-R18</x:f>
        <x:v>0</x:v>
      </x:c>
      <x:c r="U18" s="32" t="str">
        <x:f>IF(MAX(ABS(E18),ABS(H18),ABS(K18),ABS(N18),ABS(Q18),ABS(T18))&lt;=0.000001,"OK","CHECK")</x:f>
        <x:v>OK</x:v>
      </x:c>
    </x:row>
    <x:row r="19">
      <x:c r="A19" s="32" t="str">
        <x:v>乐观</x:v>
      </x:c>
      <x:c r="B19" s="32" t="n">
        <x:v>2029</x:v>
      </x:c>
      <x:c r="C19" s="193" t="n">
        <x:v>6294.567040000001</x:v>
      </x:c>
      <x:c r="D19" s="194" t="n">
        <x:f>'分部预测'!E112</x:f>
        <x:v>6294.56704</x:v>
      </x:c>
      <x:c r="E19" s="193" t="n">
        <x:f>D19-C19</x:f>
        <x:v>-9.094947017729282e-13</x:v>
      </x:c>
      <x:c r="F19" s="193" t="n">
        <x:v>1105.133620992</x:v>
      </x:c>
      <x:c r="G19" s="194" t="n">
        <x:f>'分部预测'!E141</x:f>
        <x:v>1105.1336209920003</x:v>
      </x:c>
      <x:c r="H19" s="193" t="n">
        <x:f>G19-F19</x:f>
        <x:v>2.2737367544323206e-13</x:v>
      </x:c>
      <x:c r="I19" s="193" t="n">
        <x:v>1796.7600000000002</x:v>
      </x:c>
      <x:c r="J19" s="194" t="n">
        <x:f>'分部预测'!E105</x:f>
        <x:v>1796.7600000000002</x:v>
      </x:c>
      <x:c r="K19" s="193" t="n">
        <x:f>J19-I19</x:f>
        <x:v>0</x:v>
      </x:c>
      <x:c r="L19" s="193" t="n">
        <x:v>1900</x:v>
      </x:c>
      <x:c r="M19" s="194" t="n">
        <x:f>'分部预测'!E109</x:f>
        <x:v>1900</x:v>
      </x:c>
      <x:c r="N19" s="193" t="n">
        <x:f>M19-L19</x:f>
        <x:v>0</x:v>
      </x:c>
      <x:c r="O19" s="193" t="n">
        <x:v>363.6567488</x:v>
      </x:c>
      <x:c r="P19" s="194" t="n">
        <x:f>'分部预测'!E140</x:f>
        <x:v>363.6567488</x:v>
      </x:c>
      <x:c r="Q19" s="193" t="n">
        <x:f>P19-O19</x:f>
        <x:v>0</x:v>
      </x:c>
      <x:c r="R19" s="193" t="n">
        <x:v>2.783509803246703</x:v>
      </x:c>
      <x:c r="S19" s="194" t="n">
        <x:f>'分部预测'!E143</x:f>
        <x:v>2.7835098032467034</x:v>
      </x:c>
      <x:c r="T19" s="193" t="n">
        <x:f>S19-R19</x:f>
        <x:v>4.440892098500626e-16</x:v>
      </x:c>
      <x:c r="U19" s="32" t="str">
        <x:f>IF(MAX(ABS(E19),ABS(H19),ABS(K19),ABS(N19),ABS(Q19),ABS(T19))&lt;=0.000001,"OK","CHECK")</x:f>
        <x:v>OK</x:v>
      </x:c>
    </x:row>
    <x:row r="20">
      <x:c r="A20" s="32" t="str">
        <x:v>乐观</x:v>
      </x:c>
      <x:c r="B20" s="32" t="n">
        <x:v>2030</x:v>
      </x:c>
      <x:c r="C20" s="193" t="n">
        <x:v>8022.23355</x:v>
      </x:c>
      <x:c r="D20" s="194" t="n">
        <x:f>'分部预测'!F112</x:f>
        <x:v>8022.233550000001</x:v>
      </x:c>
      <x:c r="E20" s="193" t="n">
        <x:f>D20-C20</x:f>
        <x:v>9.094947017729282e-13</x:v>
      </x:c>
      <x:c r="F20" s="193" t="n">
        <x:v>1437.2034323600003</x:v>
      </x:c>
      <x:c r="G20" s="194" t="n">
        <x:f>'分部预测'!F141</x:f>
        <x:v>1437.20343236</x:v>
      </x:c>
      <x:c r="H20" s="193" t="n">
        <x:f>G20-F20</x:f>
        <x:v>-2.2737367544323206e-13</x:v>
      </x:c>
      <x:c r="I20" s="193" t="n">
        <x:v>2211.3</x:v>
      </x:c>
      <x:c r="J20" s="194" t="n">
        <x:f>'分部预测'!F105</x:f>
        <x:v>2211.3</x:v>
      </x:c>
      <x:c r="K20" s="193" t="n">
        <x:f>J20-I20</x:f>
        <x:v>0</x:v>
      </x:c>
      <x:c r="L20" s="193" t="n">
        <x:v>2200</x:v>
      </x:c>
      <x:c r="M20" s="194" t="n">
        <x:f>'分部预测'!F109</x:f>
        <x:v>2200</x:v>
      </x:c>
      <x:c r="N20" s="193" t="n">
        <x:f>M20-L20</x:f>
        <x:v>0</x:v>
      </x:c>
      <x:c r="O20" s="193" t="n">
        <x:v>471.72389599999997</x:v>
      </x:c>
      <x:c r="P20" s="194" t="n">
        <x:f>'分部预测'!F140</x:f>
        <x:v>471.72389599999997</x:v>
      </x:c>
      <x:c r="Q20" s="193" t="n">
        <x:f>P20-O20</x:f>
        <x:v>0</x:v>
      </x:c>
      <x:c r="R20" s="193" t="n">
        <x:v>3.6198969674299954</x:v>
      </x:c>
      <x:c r="S20" s="194" t="n">
        <x:f>'分部预测'!F143</x:f>
        <x:v>3.6198969674299946</x:v>
      </x:c>
      <x:c r="T20" s="193" t="n">
        <x:f>S20-R20</x:f>
        <x:v>-8.881784197001252e-16</x:v>
      </x:c>
      <x:c r="U20" s="32" t="str">
        <x:f>IF(MAX(ABS(E20),ABS(H20),ABS(K20),ABS(N20),ABS(Q20),ABS(T20))&lt;=0.000001,"OK","CHECK")</x:f>
        <x:v>OK</x:v>
      </x:c>
    </x:row>
    <x:row r="23" ht="22" customHeight="1">
      <x:c r="A23" s="10" t="str">
        <x:v>三情景全部假设对账</x:v>
      </x:c>
      <x:c r="B23" s="10"/>
      <x:c r="C23" s="10"/>
      <x:c r="D23" s="10"/>
      <x:c r="E23" s="10"/>
      <x:c r="F23" s="10"/>
      <x:c r="G23" s="10"/>
      <x:c r="H23" s="10"/>
      <x:c r="I23" s="10"/>
      <x:c r="J23" s="10"/>
      <x:c r="K23" s="10"/>
      <x:c r="L23" s="10"/>
      <x:c r="M23" s="10"/>
      <x:c r="N23" s="10"/>
    </x:row>
    <x:row r="25">
      <x:c r="A25" s="26" t="str">
        <x:v>情景</x:v>
      </x:c>
      <x:c r="B25" s="26" t="str">
        <x:v>字段</x:v>
      </x:c>
      <x:c r="C25" s="26" t="str">
        <x:v>网页2026</x:v>
      </x:c>
      <x:c r="D25" s="26" t="str">
        <x:v>网页2027</x:v>
      </x:c>
      <x:c r="E25" s="26" t="str">
        <x:v>网页2028</x:v>
      </x:c>
      <x:c r="F25" s="26" t="str">
        <x:v>网页2029</x:v>
      </x:c>
      <x:c r="G25" s="26" t="str">
        <x:v>网页2030</x:v>
      </x:c>
      <x:c r="H25" s="26" t="str">
        <x:v>Excel2026</x:v>
      </x:c>
      <x:c r="I25" s="26" t="str">
        <x:v>Excel2027</x:v>
      </x:c>
      <x:c r="J25" s="26" t="str">
        <x:v>Excel2028</x:v>
      </x:c>
      <x:c r="K25" s="26" t="str">
        <x:v>Excel2029</x:v>
      </x:c>
      <x:c r="L25" s="26" t="str">
        <x:v>Excel2030</x:v>
      </x:c>
      <x:c r="M25" s="26" t="str">
        <x:v>最大差异</x:v>
      </x:c>
      <x:c r="N25" s="26" t="str">
        <x:v>状态</x:v>
      </x:c>
    </x:row>
    <x:row r="26">
      <x:c r="A26" s="32" t="str">
        <x:v>悲观</x:v>
      </x:c>
      <x:c r="B26" s="32" t="str">
        <x:v>可覆盖终端池（百万部）</x:v>
      </x:c>
      <x:c r="C26" s="193" t="n">
        <x:v>220</x:v>
      </x:c>
      <x:c r="D26" s="193" t="n">
        <x:v>230</x:v>
      </x:c>
      <x:c r="E26" s="193" t="n">
        <x:v>250</x:v>
      </x:c>
      <x:c r="F26" s="193" t="n">
        <x:v>275</x:v>
      </x:c>
      <x:c r="G26" s="193" t="n">
        <x:v>300</x:v>
      </x:c>
      <x:c r="H26" s="194" t="n">
        <x:f>'核心假设'!B6</x:f>
        <x:v>220</x:v>
      </x:c>
      <x:c r="I26" s="194" t="n">
        <x:f>'核心假设'!C6</x:f>
        <x:v>230</x:v>
      </x:c>
      <x:c r="J26" s="194" t="n">
        <x:f>'核心假设'!D6</x:f>
        <x:v>250</x:v>
      </x:c>
      <x:c r="K26" s="194" t="n">
        <x:f>'核心假设'!E6</x:f>
        <x:v>275</x:v>
      </x:c>
      <x:c r="L26" s="194" t="n">
        <x:f>'核心假设'!F6</x:f>
        <x:v>300</x:v>
      </x:c>
      <x:c r="M26" s="193" t="n">
        <x:f>MAX(ABS(C26-H26),ABS(D26-I26),ABS(E26-J26),ABS(F26-K26),ABS(G26-L26))</x:f>
        <x:v>0</x:v>
      </x:c>
      <x:c r="N26" s="32" t="str">
        <x:f>IF(M26&lt;=0.000001,"OK","CHECK")</x:f>
        <x:v>OK</x:v>
      </x:c>
    </x:row>
    <x:row r="27">
      <x:c r="A27" s="32" t="str">
        <x:v>悲观</x:v>
      </x:c>
      <x:c r="B27" s="32" t="str">
        <x:v>新工艺采用率</x:v>
      </x:c>
      <x:c r="C27" s="193" t="n">
        <x:v>0.04</x:v>
      </x:c>
      <x:c r="D27" s="193" t="n">
        <x:v>0.22</x:v>
      </x:c>
      <x:c r="E27" s="193" t="n">
        <x:v>0.27</x:v>
      </x:c>
      <x:c r="F27" s="193" t="n">
        <x:v>0.3</x:v>
      </x:c>
      <x:c r="G27" s="193" t="n">
        <x:v>0.32</x:v>
      </x:c>
      <x:c r="H27" s="194" t="n">
        <x:f>'核心假设'!B7</x:f>
        <x:v>0.04</x:v>
      </x:c>
      <x:c r="I27" s="194" t="n">
        <x:f>'核心假设'!C7</x:f>
        <x:v>0.22</x:v>
      </x:c>
      <x:c r="J27" s="194" t="n">
        <x:f>'核心假设'!D7</x:f>
        <x:v>0.27</x:v>
      </x:c>
      <x:c r="K27" s="194" t="n">
        <x:f>'核心假设'!E7</x:f>
        <x:v>0.3</x:v>
      </x:c>
      <x:c r="L27" s="194" t="n">
        <x:f>'核心假设'!F7</x:f>
        <x:v>0.32</x:v>
      </x:c>
      <x:c r="M27" s="193" t="n">
        <x:f>MAX(ABS(C27-H27),ABS(D27-I27),ABS(E27-J27),ABS(F27-K27),ABS(G27-L27))</x:f>
        <x:v>0</x:v>
      </x:c>
      <x:c r="N27" s="32" t="str">
        <x:f>IF(M27&lt;=0.000001,"OK","CHECK")</x:f>
        <x:v>OK</x:v>
      </x:c>
    </x:row>
    <x:row r="28">
      <x:c r="A28" s="32" t="str">
        <x:v>悲观</x:v>
      </x:c>
      <x:c r="B28" s="32" t="str">
        <x:v>前端片数放大系数</x:v>
      </x:c>
      <x:c r="C28" s="193" t="n">
        <x:v>1.35</x:v>
      </x:c>
      <x:c r="D28" s="193" t="n">
        <x:v>1.35</x:v>
      </x:c>
      <x:c r="E28" s="193" t="n">
        <x:v>1.35</x:v>
      </x:c>
      <x:c r="F28" s="193" t="n">
        <x:v>1.32</x:v>
      </x:c>
      <x:c r="G28" s="193" t="n">
        <x:v>1.3</x:v>
      </x:c>
      <x:c r="H28" s="194" t="n">
        <x:f>'核心假设'!B8</x:f>
        <x:v>1.35</x:v>
      </x:c>
      <x:c r="I28" s="194" t="n">
        <x:f>'核心假设'!C8</x:f>
        <x:v>1.35</x:v>
      </x:c>
      <x:c r="J28" s="194" t="n">
        <x:f>'核心假设'!D8</x:f>
        <x:v>1.35</x:v>
      </x:c>
      <x:c r="K28" s="194" t="n">
        <x:f>'核心假设'!E8</x:f>
        <x:v>1.32</x:v>
      </x:c>
      <x:c r="L28" s="194" t="n">
        <x:f>'核心假设'!F8</x:f>
        <x:v>1.3</x:v>
      </x:c>
      <x:c r="M28" s="193" t="n">
        <x:f>MAX(ABS(C28-H28),ABS(D28-I28),ABS(E28-J28),ABS(F28-K28),ABS(G28-L28))</x:f>
        <x:v>0</x:v>
      </x:c>
      <x:c r="N28" s="32" t="str">
        <x:f>IF(M28&lt;=0.000001,"OK","CHECK")</x:f>
        <x:v>OK</x:v>
      </x:c>
    </x:row>
    <x:row r="29">
      <x:c r="A29" s="32" t="str">
        <x:v>悲观</x:v>
      </x:c>
      <x:c r="B29" s="32" t="str">
        <x:v>岱勒加工份额</x:v>
      </x:c>
      <x:c r="C29" s="193" t="n">
        <x:v>0.75</x:v>
      </x:c>
      <x:c r="D29" s="193" t="n">
        <x:v>0.73</x:v>
      </x:c>
      <x:c r="E29" s="193" t="n">
        <x:v>0.72</x:v>
      </x:c>
      <x:c r="F29" s="193" t="n">
        <x:v>0.72</x:v>
      </x:c>
      <x:c r="G29" s="193" t="n">
        <x:v>0.72</x:v>
      </x:c>
      <x:c r="H29" s="194" t="n">
        <x:f>'核心假设'!B9</x:f>
        <x:v>0.75</x:v>
      </x:c>
      <x:c r="I29" s="194" t="n">
        <x:f>'核心假设'!C9</x:f>
        <x:v>0.73</x:v>
      </x:c>
      <x:c r="J29" s="194" t="n">
        <x:f>'核心假设'!D9</x:f>
        <x:v>0.72</x:v>
      </x:c>
      <x:c r="K29" s="194" t="n">
        <x:f>'核心假设'!E9</x:f>
        <x:v>0.72</x:v>
      </x:c>
      <x:c r="L29" s="194" t="n">
        <x:f>'核心假设'!F9</x:f>
        <x:v>0.72</x:v>
      </x:c>
      <x:c r="M29" s="193" t="n">
        <x:f>MAX(ABS(C29-H29),ABS(D29-I29),ABS(E29-J29),ABS(F29-K29),ABS(G29-L29))</x:f>
        <x:v>0</x:v>
      </x:c>
      <x:c r="N29" s="32" t="str">
        <x:f>IF(M29&lt;=0.000001,"OK","CHECK")</x:f>
        <x:v>OK</x:v>
      </x:c>
    </x:row>
    <x:row r="30">
      <x:c r="A30" s="32" t="str">
        <x:v>悲观</x:v>
      </x:c>
      <x:c r="B30" s="32" t="str">
        <x:v>单片加工费（元）</x:v>
      </x:c>
      <x:c r="C30" s="193" t="n">
        <x:v>6</x:v>
      </x:c>
      <x:c r="D30" s="193" t="n">
        <x:v>9</x:v>
      </x:c>
      <x:c r="E30" s="193" t="n">
        <x:v>9.2</x:v>
      </x:c>
      <x:c r="F30" s="193" t="n">
        <x:v>9.6</x:v>
      </x:c>
      <x:c r="G30" s="193" t="n">
        <x:v>9.5</x:v>
      </x:c>
      <x:c r="H30" s="194" t="n">
        <x:f>'核心假设'!B10</x:f>
        <x:v>6</x:v>
      </x:c>
      <x:c r="I30" s="194" t="n">
        <x:f>'核心假设'!C10</x:f>
        <x:v>9</x:v>
      </x:c>
      <x:c r="J30" s="194" t="n">
        <x:f>'核心假设'!D10</x:f>
        <x:v>9.2</x:v>
      </x:c>
      <x:c r="K30" s="194" t="n">
        <x:f>'核心假设'!E10</x:f>
        <x:v>9.6</x:v>
      </x:c>
      <x:c r="L30" s="194" t="n">
        <x:f>'核心假设'!F10</x:f>
        <x:v>9.5</x:v>
      </x:c>
      <x:c r="M30" s="193" t="n">
        <x:f>MAX(ABS(C30-H30),ABS(D30-I30),ABS(E30-J30),ABS(F30-K30),ABS(G30-L30))</x:f>
        <x:v>0</x:v>
      </x:c>
      <x:c r="N30" s="32" t="str">
        <x:f>IF(M30&lt;=0.000001,"OK","CHECK")</x:f>
        <x:v>OK</x:v>
      </x:c>
    </x:row>
    <x:row r="31">
      <x:c r="A31" s="32" t="str">
        <x:v>悲观</x:v>
      </x:c>
      <x:c r="B31" s="32" t="str">
        <x:v>外部产线占比（仅外售线）</x:v>
      </x:c>
      <x:c r="C31" s="193" t="n">
        <x:v>0.65</x:v>
      </x:c>
      <x:c r="D31" s="193" t="n">
        <x:v>0.7</x:v>
      </x:c>
      <x:c r="E31" s="193" t="n">
        <x:v>0.7</x:v>
      </x:c>
      <x:c r="F31" s="193" t="n">
        <x:v>0.72</x:v>
      </x:c>
      <x:c r="G31" s="193" t="n">
        <x:v>0.74</x:v>
      </x:c>
      <x:c r="H31" s="194" t="n">
        <x:f>'核心假设'!B11</x:f>
        <x:v>0.65</x:v>
      </x:c>
      <x:c r="I31" s="194" t="n">
        <x:f>'核心假设'!C11</x:f>
        <x:v>0.7</x:v>
      </x:c>
      <x:c r="J31" s="194" t="n">
        <x:f>'核心假设'!D11</x:f>
        <x:v>0.7</x:v>
      </x:c>
      <x:c r="K31" s="194" t="n">
        <x:f>'核心假设'!E11</x:f>
        <x:v>0.72</x:v>
      </x:c>
      <x:c r="L31" s="194" t="n">
        <x:f>'核心假设'!F11</x:f>
        <x:v>0.74</x:v>
      </x:c>
      <x:c r="M31" s="193" t="n">
        <x:f>MAX(ABS(C31-H31),ABS(D31-I31),ABS(E31-J31),ABS(F31-K31),ABS(G31-L31))</x:f>
        <x:v>0</x:v>
      </x:c>
      <x:c r="N31" s="32" t="str">
        <x:f>IF(M31&lt;=0.000001,"OK","CHECK")</x:f>
        <x:v>OK</x:v>
      </x:c>
    </x:row>
    <x:row r="32">
      <x:c r="A32" s="32" t="str">
        <x:v>悲观</x:v>
      </x:c>
      <x:c r="B32" s="32" t="str">
        <x:v>单片外售金刚线价值（元）</x:v>
      </x:c>
      <x:c r="C32" s="193" t="n">
        <x:v>0.1</x:v>
      </x:c>
      <x:c r="D32" s="193" t="n">
        <x:v>0.5</x:v>
      </x:c>
      <x:c r="E32" s="193" t="n">
        <x:v>0.45</x:v>
      </x:c>
      <x:c r="F32" s="193" t="n">
        <x:v>0.4</x:v>
      </x:c>
      <x:c r="G32" s="193" t="n">
        <x:v>0.4</x:v>
      </x:c>
      <x:c r="H32" s="194" t="n">
        <x:f>'核心假设'!B12</x:f>
        <x:v>0.1</x:v>
      </x:c>
      <x:c r="I32" s="194" t="n">
        <x:f>'核心假设'!C12</x:f>
        <x:v>0.5</x:v>
      </x:c>
      <x:c r="J32" s="194" t="n">
        <x:f>'核心假设'!D12</x:f>
        <x:v>0.45</x:v>
      </x:c>
      <x:c r="K32" s="194" t="n">
        <x:f>'核心假设'!E12</x:f>
        <x:v>0.4</x:v>
      </x:c>
      <x:c r="L32" s="194" t="n">
        <x:f>'核心假设'!F12</x:f>
        <x:v>0.4</x:v>
      </x:c>
      <x:c r="M32" s="193" t="n">
        <x:f>MAX(ABS(C32-H32),ABS(D32-I32),ABS(E32-J32),ABS(F32-K32),ABS(G32-L32))</x:f>
        <x:v>0</x:v>
      </x:c>
      <x:c r="N32" s="32" t="str">
        <x:f>IF(M32&lt;=0.000001,"OK","CHECK")</x:f>
        <x:v>OK</x:v>
      </x:c>
    </x:row>
    <x:row r="33">
      <x:c r="A33" s="32" t="str">
        <x:v>悲观</x:v>
      </x:c>
      <x:c r="B33" s="32" t="str">
        <x:v>加工毛利率</x:v>
      </x:c>
      <x:c r="C33" s="193" t="n">
        <x:v>0.3</x:v>
      </x:c>
      <x:c r="D33" s="193" t="n">
        <x:v>0.31</x:v>
      </x:c>
      <x:c r="E33" s="193" t="n">
        <x:v>0.32</x:v>
      </x:c>
      <x:c r="F33" s="193" t="n">
        <x:v>0.33</x:v>
      </x:c>
      <x:c r="G33" s="193" t="n">
        <x:v>0.34</x:v>
      </x:c>
      <x:c r="H33" s="194" t="n">
        <x:f>'核心假设'!B13</x:f>
        <x:v>0.3</x:v>
      </x:c>
      <x:c r="I33" s="194" t="n">
        <x:f>'核心假设'!C13</x:f>
        <x:v>0.31</x:v>
      </x:c>
      <x:c r="J33" s="194" t="n">
        <x:f>'核心假设'!D13</x:f>
        <x:v>0.32</x:v>
      </x:c>
      <x:c r="K33" s="194" t="n">
        <x:f>'核心假设'!E13</x:f>
        <x:v>0.33</x:v>
      </x:c>
      <x:c r="L33" s="194" t="n">
        <x:f>'核心假设'!F13</x:f>
        <x:v>0.34</x:v>
      </x:c>
      <x:c r="M33" s="193" t="n">
        <x:f>MAX(ABS(C33-H33),ABS(D33-I33),ABS(E33-J33),ABS(F33-K33),ABS(G33-L33))</x:f>
        <x:v>0</x:v>
      </x:c>
      <x:c r="N33" s="32" t="str">
        <x:f>IF(M33&lt;=0.000001,"OK","CHECK")</x:f>
        <x:v>OK</x:v>
      </x:c>
    </x:row>
    <x:row r="34">
      <x:c r="A34" s="32" t="str">
        <x:v>悲观</x:v>
      </x:c>
      <x:c r="B34" s="32" t="str">
        <x:v>外售切割线毛利率</x:v>
      </x:c>
      <x:c r="C34" s="193" t="n">
        <x:v>0.1651</x:v>
      </x:c>
      <x:c r="D34" s="193" t="n">
        <x:v>0.17</x:v>
      </x:c>
      <x:c r="E34" s="193" t="n">
        <x:v>0.18</x:v>
      </x:c>
      <x:c r="F34" s="193" t="n">
        <x:v>0.19</x:v>
      </x:c>
      <x:c r="G34" s="193" t="n">
        <x:v>0.2</x:v>
      </x:c>
      <x:c r="H34" s="194" t="n">
        <x:f>'核心假设'!B14</x:f>
        <x:v>0.1651</x:v>
      </x:c>
      <x:c r="I34" s="194" t="n">
        <x:f>'核心假设'!C14</x:f>
        <x:v>0.17</x:v>
      </x:c>
      <x:c r="J34" s="194" t="n">
        <x:f>'核心假设'!D14</x:f>
        <x:v>0.18</x:v>
      </x:c>
      <x:c r="K34" s="194" t="n">
        <x:f>'核心假设'!E14</x:f>
        <x:v>0.19</x:v>
      </x:c>
      <x:c r="L34" s="194" t="n">
        <x:f>'核心假设'!F14</x:f>
        <x:v>0.2</x:v>
      </x:c>
      <x:c r="M34" s="193" t="n">
        <x:f>MAX(ABS(C34-H34),ABS(D34-I34),ABS(E34-J34),ABS(F34-K34),ABS(G34-L34))</x:f>
        <x:v>0</x:v>
      </x:c>
      <x:c r="N34" s="32" t="str">
        <x:f>IF(M34&lt;=0.000001,"OK","CHECK")</x:f>
        <x:v>OK</x:v>
      </x:c>
    </x:row>
    <x:row r="35">
      <x:c r="A35" s="32" t="str">
        <x:v>悲观</x:v>
      </x:c>
      <x:c r="B35" s="32" t="str">
        <x:v>首批设备口径（百万元）</x:v>
      </x:c>
      <x:c r="C35" s="193" t="n">
        <x:v>1000</x:v>
      </x:c>
      <x:c r="D35" s="193" t="n">
        <x:v>1000</x:v>
      </x:c>
      <x:c r="E35" s="193" t="n">
        <x:v>1200</x:v>
      </x:c>
      <x:c r="F35" s="193" t="n">
        <x:v>1200</x:v>
      </x:c>
      <x:c r="G35" s="193" t="n">
        <x:v>1200</x:v>
      </x:c>
      <x:c r="H35" s="194" t="n">
        <x:f>'核心假设'!B17</x:f>
        <x:v>1000</x:v>
      </x:c>
      <x:c r="I35" s="194" t="n">
        <x:f>'核心假设'!C17</x:f>
        <x:v>1000</x:v>
      </x:c>
      <x:c r="J35" s="194" t="n">
        <x:f>'核心假设'!D17</x:f>
        <x:v>1200</x:v>
      </x:c>
      <x:c r="K35" s="194" t="n">
        <x:f>'核心假设'!E17</x:f>
        <x:v>1200</x:v>
      </x:c>
      <x:c r="L35" s="194" t="n">
        <x:f>'核心假设'!F17</x:f>
        <x:v>1200</x:v>
      </x:c>
      <x:c r="M35" s="193" t="n">
        <x:f>MAX(ABS(C35-H35),ABS(D35-I35),ABS(E35-J35),ABS(F35-K35),ABS(G35-L35))</x:f>
        <x:v>0</x:v>
      </x:c>
      <x:c r="N35" s="32" t="str">
        <x:f>IF(M35&lt;=0.000001,"OK","CHECK")</x:f>
        <x:v>OK</x:v>
      </x:c>
    </x:row>
    <x:row r="36">
      <x:c r="A36" s="32" t="str">
        <x:v>悲观</x:v>
      </x:c>
      <x:c r="B36" s="32" t="str">
        <x:v>首批设备兑现比例</x:v>
      </x:c>
      <x:c r="C36" s="193" t="n">
        <x:v>0</x:v>
      </x:c>
      <x:c r="D36" s="193" t="n">
        <x:v>0.6</x:v>
      </x:c>
      <x:c r="E36" s="193" t="n">
        <x:v>0.6</x:v>
      </x:c>
      <x:c r="F36" s="193" t="n">
        <x:v>0.2</x:v>
      </x:c>
      <x:c r="G36" s="193" t="n">
        <x:v>0.2</x:v>
      </x:c>
      <x:c r="H36" s="194" t="n">
        <x:f>'核心假设'!B18</x:f>
        <x:v>0</x:v>
      </x:c>
      <x:c r="I36" s="194" t="n">
        <x:f>'核心假设'!C18</x:f>
        <x:v>0.6</x:v>
      </x:c>
      <x:c r="J36" s="194" t="n">
        <x:f>'核心假设'!D18</x:f>
        <x:v>0.6</x:v>
      </x:c>
      <x:c r="K36" s="194" t="n">
        <x:f>'核心假设'!E18</x:f>
        <x:v>0.2</x:v>
      </x:c>
      <x:c r="L36" s="194" t="n">
        <x:f>'核心假设'!F18</x:f>
        <x:v>0.2</x:v>
      </x:c>
      <x:c r="M36" s="193" t="n">
        <x:f>MAX(ABS(C36-H36),ABS(D36-I36),ABS(E36-J36),ABS(F36-K36),ABS(G36-L36))</x:f>
        <x:v>0</x:v>
      </x:c>
      <x:c r="N36" s="32" t="str">
        <x:f>IF(M36&lt;=0.000001,"OK","CHECK")</x:f>
        <x:v>OK</x:v>
      </x:c>
    </x:row>
    <x:row r="37">
      <x:c r="A37" s="32" t="str">
        <x:v>悲观</x:v>
      </x:c>
      <x:c r="B37" s="32" t="str">
        <x:v>首批设备交付节奏</x:v>
      </x:c>
      <x:c r="C37" s="193" t="n">
        <x:v>0</x:v>
      </x:c>
      <x:c r="D37" s="193" t="n">
        <x:v>0.7</x:v>
      </x:c>
      <x:c r="E37" s="193" t="n">
        <x:v>0.7</x:v>
      </x:c>
      <x:c r="F37" s="193" t="n">
        <x:v>0</x:v>
      </x:c>
      <x:c r="G37" s="193" t="n">
        <x:v>0</x:v>
      </x:c>
      <x:c r="H37" s="194" t="n">
        <x:f>'核心假设'!B19</x:f>
        <x:v>0</x:v>
      </x:c>
      <x:c r="I37" s="194" t="n">
        <x:f>'核心假设'!C19</x:f>
        <x:v>0.7</x:v>
      </x:c>
      <x:c r="J37" s="194" t="n">
        <x:f>'核心假设'!D19</x:f>
        <x:v>0.7</x:v>
      </x:c>
      <x:c r="K37" s="194" t="n">
        <x:f>'核心假设'!E19</x:f>
        <x:v>0</x:v>
      </x:c>
      <x:c r="L37" s="194" t="n">
        <x:f>'核心假设'!F19</x:f>
        <x:v>0</x:v>
      </x:c>
      <x:c r="M37" s="193" t="n">
        <x:f>MAX(ABS(C37-H37),ABS(D37-I37),ABS(E37-J37),ABS(F37-K37),ABS(G37-L37))</x:f>
        <x:v>0</x:v>
      </x:c>
      <x:c r="N37" s="32" t="str">
        <x:f>IF(M37&lt;=0.000001,"OK","CHECK")</x:f>
        <x:v>OK</x:v>
      </x:c>
    </x:row>
    <x:row r="38">
      <x:c r="A38" s="32" t="str">
        <x:v>悲观</x:v>
      </x:c>
      <x:c r="B38" s="32" t="str">
        <x:v>维护/海外/后续设备收入（百万元）</x:v>
      </x:c>
      <x:c r="C38" s="193" t="n">
        <x:v>0</x:v>
      </x:c>
      <x:c r="D38" s="193" t="n">
        <x:v>180</x:v>
      </x:c>
      <x:c r="E38" s="193" t="n">
        <x:v>0</x:v>
      </x:c>
      <x:c r="F38" s="193" t="n">
        <x:v>600</x:v>
      </x:c>
      <x:c r="G38" s="193" t="n">
        <x:v>550</x:v>
      </x:c>
      <x:c r="H38" s="194" t="n">
        <x:f>'核心假设'!B20</x:f>
        <x:v>0</x:v>
      </x:c>
      <x:c r="I38" s="194" t="n">
        <x:f>'核心假设'!C20</x:f>
        <x:v>180</x:v>
      </x:c>
      <x:c r="J38" s="194" t="n">
        <x:f>'核心假设'!D20</x:f>
        <x:v>0</x:v>
      </x:c>
      <x:c r="K38" s="194" t="n">
        <x:f>'核心假设'!E20</x:f>
        <x:v>600</x:v>
      </x:c>
      <x:c r="L38" s="194" t="n">
        <x:f>'核心假设'!F20</x:f>
        <x:v>550</x:v>
      </x:c>
      <x:c r="M38" s="193" t="n">
        <x:f>MAX(ABS(C38-H38),ABS(D38-I38),ABS(E38-J38),ABS(F38-K38),ABS(G38-L38))</x:f>
        <x:v>0</x:v>
      </x:c>
      <x:c r="N38" s="32" t="str">
        <x:f>IF(M38&lt;=0.000001,"OK","CHECK")</x:f>
        <x:v>OK</x:v>
      </x:c>
    </x:row>
    <x:row r="39">
      <x:c r="A39" s="32" t="str">
        <x:v>悲观</x:v>
      </x:c>
      <x:c r="B39" s="32" t="str">
        <x:v>设备毛利率</x:v>
      </x:c>
      <x:c r="C39" s="193" t="n">
        <x:v>0.3</x:v>
      </x:c>
      <x:c r="D39" s="193" t="n">
        <x:v>0.3</x:v>
      </x:c>
      <x:c r="E39" s="193" t="n">
        <x:v>0.3</x:v>
      </x:c>
      <x:c r="F39" s="193" t="n">
        <x:v>0.3</x:v>
      </x:c>
      <x:c r="G39" s="193" t="n">
        <x:v>0.3</x:v>
      </x:c>
      <x:c r="H39" s="194" t="n">
        <x:f>'核心假设'!B21</x:f>
        <x:v>0.3</x:v>
      </x:c>
      <x:c r="I39" s="194" t="n">
        <x:f>'核心假设'!C21</x:f>
        <x:v>0.3</x:v>
      </x:c>
      <x:c r="J39" s="194" t="n">
        <x:f>'核心假设'!D21</x:f>
        <x:v>0.3</x:v>
      </x:c>
      <x:c r="K39" s="194" t="n">
        <x:f>'核心假设'!E21</x:f>
        <x:v>0.3</x:v>
      </x:c>
      <x:c r="L39" s="194" t="n">
        <x:f>'核心假设'!F21</x:f>
        <x:v>0.3</x:v>
      </x:c>
      <x:c r="M39" s="193" t="n">
        <x:f>MAX(ABS(C39-H39),ABS(D39-I39),ABS(E39-J39),ABS(F39-K39),ABS(G39-L39))</x:f>
        <x:v>0</x:v>
      </x:c>
      <x:c r="N39" s="32" t="str">
        <x:f>IF(M39&lt;=0.000001,"OK","CHECK")</x:f>
        <x:v>OK</x:v>
      </x:c>
    </x:row>
    <x:row r="40">
      <x:c r="A40" s="32" t="str">
        <x:v>悲观</x:v>
      </x:c>
      <x:c r="B40" s="32" t="str">
        <x:v>设备内部销售占比</x:v>
      </x:c>
      <x:c r="C40" s="193" t="n">
        <x:v>0</x:v>
      </x:c>
      <x:c r="D40" s="193" t="n">
        <x:v>0</x:v>
      </x:c>
      <x:c r="E40" s="193" t="n">
        <x:v>0</x:v>
      </x:c>
      <x:c r="F40" s="193" t="n">
        <x:v>0</x:v>
      </x:c>
      <x:c r="G40" s="193" t="n">
        <x:v>0</x:v>
      </x:c>
      <x:c r="H40" s="194" t="n">
        <x:f>'核心假设'!B22</x:f>
        <x:v>0</x:v>
      </x:c>
      <x:c r="I40" s="194" t="n">
        <x:f>'核心假设'!C22</x:f>
        <x:v>0</x:v>
      </x:c>
      <x:c r="J40" s="194" t="n">
        <x:f>'核心假设'!D22</x:f>
        <x:v>0</x:v>
      </x:c>
      <x:c r="K40" s="194" t="n">
        <x:f>'核心假设'!E22</x:f>
        <x:v>0</x:v>
      </x:c>
      <x:c r="L40" s="194" t="n">
        <x:f>'核心假设'!F22</x:f>
        <x:v>0</x:v>
      </x:c>
      <x:c r="M40" s="193" t="n">
        <x:f>MAX(ABS(C40-H40),ABS(D40-I40),ABS(E40-J40),ABS(F40-K40),ABS(G40-L40))</x:f>
        <x:v>0</x:v>
      </x:c>
      <x:c r="N40" s="32" t="str">
        <x:f>IF(M40&lt;=0.000001,"OK","CHECK")</x:f>
        <x:v>OK</x:v>
      </x:c>
    </x:row>
    <x:row r="41">
      <x:c r="A41" s="32" t="str">
        <x:v>悲观</x:v>
      </x:c>
      <x:c r="B41" s="32" t="str">
        <x:v>已验证可争取耗材池（百万元）</x:v>
      </x:c>
      <x:c r="C41" s="193" t="n">
        <x:v>400</x:v>
      </x:c>
      <x:c r="D41" s="193" t="n">
        <x:v>2000</x:v>
      </x:c>
      <x:c r="E41" s="193" t="n">
        <x:v>2250</x:v>
      </x:c>
      <x:c r="F41" s="193" t="n">
        <x:v>2600</x:v>
      </x:c>
      <x:c r="G41" s="193" t="n">
        <x:v>3000</x:v>
      </x:c>
      <x:c r="H41" s="194" t="n">
        <x:f>'核心假设'!B24</x:f>
        <x:v>400</x:v>
      </x:c>
      <x:c r="I41" s="194" t="n">
        <x:f>'核心假设'!C24</x:f>
        <x:v>2000</x:v>
      </x:c>
      <x:c r="J41" s="194" t="n">
        <x:f>'核心假设'!D24</x:f>
        <x:v>2250</x:v>
      </x:c>
      <x:c r="K41" s="194" t="n">
        <x:f>'核心假设'!E24</x:f>
        <x:v>2600</x:v>
      </x:c>
      <x:c r="L41" s="194" t="n">
        <x:f>'核心假设'!F24</x:f>
        <x:v>3000</x:v>
      </x:c>
      <x:c r="M41" s="193" t="n">
        <x:f>MAX(ABS(C41-H41),ABS(D41-I41),ABS(E41-J41),ABS(F41-K41),ABS(G41-L41))</x:f>
        <x:v>0</x:v>
      </x:c>
      <x:c r="N41" s="32" t="str">
        <x:f>IF(M41&lt;=0.000001,"OK","CHECK")</x:f>
        <x:v>OK</x:v>
      </x:c>
    </x:row>
    <x:row r="42">
      <x:c r="A42" s="32" t="str">
        <x:v>悲观</x:v>
      </x:c>
      <x:c r="B42" s="32" t="str">
        <x:v>外售耗材份额</x:v>
      </x:c>
      <x:c r="C42" s="193" t="n">
        <x:v>0.04</x:v>
      </x:c>
      <x:c r="D42" s="193" t="n">
        <x:v>0.2</x:v>
      </x:c>
      <x:c r="E42" s="193" t="n">
        <x:v>0.2</x:v>
      </x:c>
      <x:c r="F42" s="193" t="n">
        <x:v>0.2</x:v>
      </x:c>
      <x:c r="G42" s="193" t="n">
        <x:v>0.17</x:v>
      </x:c>
      <x:c r="H42" s="194" t="n">
        <x:f>'核心假设'!B25</x:f>
        <x:v>0.04</x:v>
      </x:c>
      <x:c r="I42" s="194" t="n">
        <x:f>'核心假设'!C25</x:f>
        <x:v>0.2</x:v>
      </x:c>
      <x:c r="J42" s="194" t="n">
        <x:f>'核心假设'!D25</x:f>
        <x:v>0.2</x:v>
      </x:c>
      <x:c r="K42" s="194" t="n">
        <x:f>'核心假设'!E25</x:f>
        <x:v>0.2</x:v>
      </x:c>
      <x:c r="L42" s="194" t="n">
        <x:f>'核心假设'!F25</x:f>
        <x:v>0.17</x:v>
      </x:c>
      <x:c r="M42" s="193" t="n">
        <x:f>MAX(ABS(C42-H42),ABS(D42-I42),ABS(E42-J42),ABS(F42-K42),ABS(G42-L42))</x:f>
        <x:v>0</x:v>
      </x:c>
      <x:c r="N42" s="32" t="str">
        <x:f>IF(M42&lt;=0.000001,"OK","CHECK")</x:f>
        <x:v>OK</x:v>
      </x:c>
    </x:row>
    <x:row r="43">
      <x:c r="A43" s="32" t="str">
        <x:v>悲观</x:v>
      </x:c>
      <x:c r="B43" s="32" t="str">
        <x:v>耗材毛利率</x:v>
      </x:c>
      <x:c r="C43" s="193" t="n">
        <x:v>0.3</x:v>
      </x:c>
      <x:c r="D43" s="193" t="n">
        <x:v>0.3</x:v>
      </x:c>
      <x:c r="E43" s="193" t="n">
        <x:v>0.3</x:v>
      </x:c>
      <x:c r="F43" s="193" t="n">
        <x:v>0.3</x:v>
      </x:c>
      <x:c r="G43" s="193" t="n">
        <x:v>0.3</x:v>
      </x:c>
      <x:c r="H43" s="194" t="n">
        <x:f>'核心假设'!B26</x:f>
        <x:v>0.3</x:v>
      </x:c>
      <x:c r="I43" s="194" t="n">
        <x:f>'核心假设'!C26</x:f>
        <x:v>0.3</x:v>
      </x:c>
      <x:c r="J43" s="194" t="n">
        <x:f>'核心假设'!D26</x:f>
        <x:v>0.3</x:v>
      </x:c>
      <x:c r="K43" s="194" t="n">
        <x:f>'核心假设'!E26</x:f>
        <x:v>0.3</x:v>
      </x:c>
      <x:c r="L43" s="194" t="n">
        <x:f>'核心假设'!F26</x:f>
        <x:v>0.3</x:v>
      </x:c>
      <x:c r="M43" s="193" t="n">
        <x:f>MAX(ABS(C43-H43),ABS(D43-I43),ABS(E43-J43),ABS(F43-K43),ABS(G43-L43))</x:f>
        <x:v>0</x:v>
      </x:c>
      <x:c r="N43" s="32" t="str">
        <x:f>IF(M43&lt;=0.000001,"OK","CHECK")</x:f>
        <x:v>OK</x:v>
      </x:c>
    </x:row>
    <x:row r="44">
      <x:c r="A44" s="32" t="str">
        <x:v>悲观</x:v>
      </x:c>
      <x:c r="B44" s="32" t="str">
        <x:v>存量业务收入（百万元）</x:v>
      </x:c>
      <x:c r="C44" s="193" t="n">
        <x:v>420</x:v>
      </x:c>
      <x:c r="D44" s="193" t="n">
        <x:v>400</x:v>
      </x:c>
      <x:c r="E44" s="193" t="n">
        <x:v>420</x:v>
      </x:c>
      <x:c r="F44" s="193" t="n">
        <x:v>440</x:v>
      </x:c>
      <x:c r="G44" s="193" t="n">
        <x:v>460</x:v>
      </x:c>
      <x:c r="H44" s="194" t="n">
        <x:f>'核心假设'!B29</x:f>
        <x:v>420</x:v>
      </x:c>
      <x:c r="I44" s="194" t="n">
        <x:f>'核心假设'!C29</x:f>
        <x:v>400</x:v>
      </x:c>
      <x:c r="J44" s="194" t="n">
        <x:f>'核心假设'!D29</x:f>
        <x:v>420</x:v>
      </x:c>
      <x:c r="K44" s="194" t="n">
        <x:f>'核心假设'!E29</x:f>
        <x:v>440</x:v>
      </x:c>
      <x:c r="L44" s="194" t="n">
        <x:f>'核心假设'!F29</x:f>
        <x:v>460</x:v>
      </x:c>
      <x:c r="M44" s="193" t="n">
        <x:f>MAX(ABS(C44-H44),ABS(D44-I44),ABS(E44-J44),ABS(F44-K44),ABS(G44-L44))</x:f>
        <x:v>0</x:v>
      </x:c>
      <x:c r="N44" s="32" t="str">
        <x:f>IF(M44&lt;=0.000001,"OK","CHECK")</x:f>
        <x:v>OK</x:v>
      </x:c>
    </x:row>
    <x:row r="45">
      <x:c r="A45" s="32" t="str">
        <x:v>悲观</x:v>
      </x:c>
      <x:c r="B45" s="32" t="str">
        <x:v>存量业务毛利率</x:v>
      </x:c>
      <x:c r="C45" s="193" t="n">
        <x:v>0.19</x:v>
      </x:c>
      <x:c r="D45" s="193" t="n">
        <x:v>0.16</x:v>
      </x:c>
      <x:c r="E45" s="193" t="n">
        <x:v>0.17</x:v>
      </x:c>
      <x:c r="F45" s="193" t="n">
        <x:v>0.18</x:v>
      </x:c>
      <x:c r="G45" s="193" t="n">
        <x:v>0.19</x:v>
      </x:c>
      <x:c r="H45" s="194" t="n">
        <x:f>'核心假设'!B30</x:f>
        <x:v>0.19</x:v>
      </x:c>
      <x:c r="I45" s="194" t="n">
        <x:f>'核心假设'!C30</x:f>
        <x:v>0.16</x:v>
      </x:c>
      <x:c r="J45" s="194" t="n">
        <x:f>'核心假设'!D30</x:f>
        <x:v>0.17</x:v>
      </x:c>
      <x:c r="K45" s="194" t="n">
        <x:f>'核心假设'!E30</x:f>
        <x:v>0.18</x:v>
      </x:c>
      <x:c r="L45" s="194" t="n">
        <x:f>'核心假设'!F30</x:f>
        <x:v>0.19</x:v>
      </x:c>
      <x:c r="M45" s="193" t="n">
        <x:f>MAX(ABS(C45-H45),ABS(D45-I45),ABS(E45-J45),ABS(F45-K45),ABS(G45-L45))</x:f>
        <x:v>0</x:v>
      </x:c>
      <x:c r="N45" s="32" t="str">
        <x:f>IF(M45&lt;=0.000001,"OK","CHECK")</x:f>
        <x:v>OK</x:v>
      </x:c>
    </x:row>
    <x:row r="46">
      <x:c r="A46" s="32" t="str">
        <x:v>悲观</x:v>
      </x:c>
      <x:c r="B46" s="32" t="str">
        <x:v>销售费用率</x:v>
      </x:c>
      <x:c r="C46" s="193" t="n">
        <x:v>0.035</x:v>
      </x:c>
      <x:c r="D46" s="193" t="n">
        <x:v>0.028</x:v>
      </x:c>
      <x:c r="E46" s="193" t="n">
        <x:v>0.026</x:v>
      </x:c>
      <x:c r="F46" s="193" t="n">
        <x:v>0.024</x:v>
      </x:c>
      <x:c r="G46" s="193" t="n">
        <x:v>0.022</x:v>
      </x:c>
      <x:c r="H46" s="194" t="n">
        <x:f>'核心假设'!B31</x:f>
        <x:v>0.035</x:v>
      </x:c>
      <x:c r="I46" s="194" t="n">
        <x:f>'核心假设'!C31</x:f>
        <x:v>0.028</x:v>
      </x:c>
      <x:c r="J46" s="194" t="n">
        <x:f>'核心假设'!D31</x:f>
        <x:v>0.026</x:v>
      </x:c>
      <x:c r="K46" s="194" t="n">
        <x:f>'核心假设'!E31</x:f>
        <x:v>0.024</x:v>
      </x:c>
      <x:c r="L46" s="194" t="n">
        <x:f>'核心假设'!F31</x:f>
        <x:v>0.022</x:v>
      </x:c>
      <x:c r="M46" s="193" t="n">
        <x:f>MAX(ABS(C46-H46),ABS(D46-I46),ABS(E46-J46),ABS(F46-K46),ABS(G46-L46))</x:f>
        <x:v>0</x:v>
      </x:c>
      <x:c r="N46" s="32" t="str">
        <x:f>IF(M46&lt;=0.000001,"OK","CHECK")</x:f>
        <x:v>OK</x:v>
      </x:c>
    </x:row>
    <x:row r="47">
      <x:c r="A47" s="32" t="str">
        <x:v>悲观</x:v>
      </x:c>
      <x:c r="B47" s="32" t="str">
        <x:v>管理费用率</x:v>
      </x:c>
      <x:c r="C47" s="193" t="n">
        <x:v>0.07</x:v>
      </x:c>
      <x:c r="D47" s="193" t="n">
        <x:v>0.05</x:v>
      </x:c>
      <x:c r="E47" s="193" t="n">
        <x:v>0.047</x:v>
      </x:c>
      <x:c r="F47" s="193" t="n">
        <x:v>0.043</x:v>
      </x:c>
      <x:c r="G47" s="193" t="n">
        <x:v>0.041</x:v>
      </x:c>
      <x:c r="H47" s="194" t="n">
        <x:f>'核心假设'!B32</x:f>
        <x:v>0.07</x:v>
      </x:c>
      <x:c r="I47" s="194" t="n">
        <x:f>'核心假设'!C32</x:f>
        <x:v>0.05</x:v>
      </x:c>
      <x:c r="J47" s="194" t="n">
        <x:f>'核心假设'!D32</x:f>
        <x:v>0.047</x:v>
      </x:c>
      <x:c r="K47" s="194" t="n">
        <x:f>'核心假设'!E32</x:f>
        <x:v>0.043</x:v>
      </x:c>
      <x:c r="L47" s="194" t="n">
        <x:f>'核心假设'!F32</x:f>
        <x:v>0.041</x:v>
      </x:c>
      <x:c r="M47" s="193" t="n">
        <x:f>MAX(ABS(C47-H47),ABS(D47-I47),ABS(E47-J47),ABS(F47-K47),ABS(G47-L47))</x:f>
        <x:v>0</x:v>
      </x:c>
      <x:c r="N47" s="32" t="str">
        <x:f>IF(M47&lt;=0.000001,"OK","CHECK")</x:f>
        <x:v>OK</x:v>
      </x:c>
    </x:row>
    <x:row r="48">
      <x:c r="A48" s="32" t="str">
        <x:v>悲观</x:v>
      </x:c>
      <x:c r="B48" s="32" t="str">
        <x:v>研发费用率</x:v>
      </x:c>
      <x:c r="C48" s="193" t="n">
        <x:v>0.055</x:v>
      </x:c>
      <x:c r="D48" s="193" t="n">
        <x:v>0.038</x:v>
      </x:c>
      <x:c r="E48" s="193" t="n">
        <x:v>0.035</x:v>
      </x:c>
      <x:c r="F48" s="193" t="n">
        <x:v>0.032</x:v>
      </x:c>
      <x:c r="G48" s="193" t="n">
        <x:v>0.03</x:v>
      </x:c>
      <x:c r="H48" s="194" t="n">
        <x:f>'核心假设'!B33</x:f>
        <x:v>0.055</x:v>
      </x:c>
      <x:c r="I48" s="194" t="n">
        <x:f>'核心假设'!C33</x:f>
        <x:v>0.038</x:v>
      </x:c>
      <x:c r="J48" s="194" t="n">
        <x:f>'核心假设'!D33</x:f>
        <x:v>0.035</x:v>
      </x:c>
      <x:c r="K48" s="194" t="n">
        <x:f>'核心假设'!E33</x:f>
        <x:v>0.032</x:v>
      </x:c>
      <x:c r="L48" s="194" t="n">
        <x:f>'核心假设'!F33</x:f>
        <x:v>0.03</x:v>
      </x:c>
      <x:c r="M48" s="193" t="n">
        <x:f>MAX(ABS(C48-H48),ABS(D48-I48),ABS(E48-J48),ABS(F48-K48),ABS(G48-L48))</x:f>
        <x:v>0</x:v>
      </x:c>
      <x:c r="N48" s="32" t="str">
        <x:f>IF(M48&lt;=0.000001,"OK","CHECK")</x:f>
        <x:v>OK</x:v>
      </x:c>
    </x:row>
    <x:row r="49">
      <x:c r="A49" s="32" t="str">
        <x:v>悲观</x:v>
      </x:c>
      <x:c r="B49" s="32" t="str">
        <x:v>财务费用率</x:v>
      </x:c>
      <x:c r="C49" s="193" t="n">
        <x:v>0.02</x:v>
      </x:c>
      <x:c r="D49" s="193" t="n">
        <x:v>0.012</x:v>
      </x:c>
      <x:c r="E49" s="193" t="n">
        <x:v>0.012</x:v>
      </x:c>
      <x:c r="F49" s="193" t="n">
        <x:v>0.011</x:v>
      </x:c>
      <x:c r="G49" s="193" t="n">
        <x:v>0.01</x:v>
      </x:c>
      <x:c r="H49" s="194" t="n">
        <x:f>'核心假设'!B34</x:f>
        <x:v>0.02</x:v>
      </x:c>
      <x:c r="I49" s="194" t="n">
        <x:f>'核心假设'!C34</x:f>
        <x:v>0.012</x:v>
      </x:c>
      <x:c r="J49" s="194" t="n">
        <x:f>'核心假设'!D34</x:f>
        <x:v>0.012</x:v>
      </x:c>
      <x:c r="K49" s="194" t="n">
        <x:f>'核心假设'!E34</x:f>
        <x:v>0.011</x:v>
      </x:c>
      <x:c r="L49" s="194" t="n">
        <x:f>'核心假设'!F34</x:f>
        <x:v>0.01</x:v>
      </x:c>
      <x:c r="M49" s="193" t="n">
        <x:f>MAX(ABS(C49-H49),ABS(D49-I49),ABS(E49-J49),ABS(F49-K49),ABS(G49-L49))</x:f>
        <x:v>0</x:v>
      </x:c>
      <x:c r="N49" s="32" t="str">
        <x:f>IF(M49&lt;=0.000001,"OK","CHECK")</x:f>
        <x:v>OK</x:v>
      </x:c>
    </x:row>
    <x:row r="50">
      <x:c r="A50" s="32" t="str">
        <x:v>悲观</x:v>
      </x:c>
      <x:c r="B50" s="32" t="str">
        <x:v>减值损失（百万元）</x:v>
      </x:c>
      <x:c r="C50" s="193" t="n">
        <x:v>8</x:v>
      </x:c>
      <x:c r="D50" s="193" t="n">
        <x:v>5</x:v>
      </x:c>
      <x:c r="E50" s="193" t="n">
        <x:v>4</x:v>
      </x:c>
      <x:c r="F50" s="193" t="n">
        <x:v>4</x:v>
      </x:c>
      <x:c r="G50" s="193" t="n">
        <x:v>4</x:v>
      </x:c>
      <x:c r="H50" s="194" t="n">
        <x:f>'核心假设'!B35</x:f>
        <x:v>8</x:v>
      </x:c>
      <x:c r="I50" s="194" t="n">
        <x:f>'核心假设'!C35</x:f>
        <x:v>5</x:v>
      </x:c>
      <x:c r="J50" s="194" t="n">
        <x:f>'核心假设'!D35</x:f>
        <x:v>4</x:v>
      </x:c>
      <x:c r="K50" s="194" t="n">
        <x:f>'核心假设'!E35</x:f>
        <x:v>4</x:v>
      </x:c>
      <x:c r="L50" s="194" t="n">
        <x:f>'核心假设'!F35</x:f>
        <x:v>4</x:v>
      </x:c>
      <x:c r="M50" s="193" t="n">
        <x:f>MAX(ABS(C50-H50),ABS(D50-I50),ABS(E50-J50),ABS(F50-K50),ABS(G50-L50))</x:f>
        <x:v>0</x:v>
      </x:c>
      <x:c r="N50" s="32" t="str">
        <x:f>IF(M50&lt;=0.000001,"OK","CHECK")</x:f>
        <x:v>OK</x:v>
      </x:c>
    </x:row>
    <x:row r="51">
      <x:c r="A51" s="32" t="str">
        <x:v>悲观</x:v>
      </x:c>
      <x:c r="B51" s="32" t="str">
        <x:v>其他收益净额（百万元）</x:v>
      </x:c>
      <x:c r="C51" s="193" t="n">
        <x:v>4</x:v>
      </x:c>
      <x:c r="D51" s="193" t="n">
        <x:v>3</x:v>
      </x:c>
      <x:c r="E51" s="193" t="n">
        <x:v>3</x:v>
      </x:c>
      <x:c r="F51" s="193" t="n">
        <x:v>3</x:v>
      </x:c>
      <x:c r="G51" s="193" t="n">
        <x:v>3</x:v>
      </x:c>
      <x:c r="H51" s="194" t="n">
        <x:f>'核心假设'!B36</x:f>
        <x:v>4</x:v>
      </x:c>
      <x:c r="I51" s="194" t="n">
        <x:f>'核心假设'!C36</x:f>
        <x:v>3</x:v>
      </x:c>
      <x:c r="J51" s="194" t="n">
        <x:f>'核心假设'!D36</x:f>
        <x:v>3</x:v>
      </x:c>
      <x:c r="K51" s="194" t="n">
        <x:f>'核心假设'!E36</x:f>
        <x:v>3</x:v>
      </x:c>
      <x:c r="L51" s="194" t="n">
        <x:f>'核心假设'!F36</x:f>
        <x:v>3</x:v>
      </x:c>
      <x:c r="M51" s="193" t="n">
        <x:f>MAX(ABS(C51-H51),ABS(D51-I51),ABS(E51-J51),ABS(F51-K51),ABS(G51-L51))</x:f>
        <x:v>0</x:v>
      </x:c>
      <x:c r="N51" s="32" t="str">
        <x:f>IF(M51&lt;=0.000001,"OK","CHECK")</x:f>
        <x:v>OK</x:v>
      </x:c>
    </x:row>
    <x:row r="52">
      <x:c r="A52" s="32" t="str">
        <x:v>悲观</x:v>
      </x:c>
      <x:c r="B52" s="32" t="str">
        <x:v>所得税率</x:v>
      </x:c>
      <x:c r="C52" s="193" t="n">
        <x:v>0.19</x:v>
      </x:c>
      <x:c r="D52" s="193" t="n">
        <x:v>0.2</x:v>
      </x:c>
      <x:c r="E52" s="193" t="n">
        <x:v>0.2</x:v>
      </x:c>
      <x:c r="F52" s="193" t="n">
        <x:v>0.2</x:v>
      </x:c>
      <x:c r="G52" s="193" t="n">
        <x:v>0.2</x:v>
      </x:c>
      <x:c r="H52" s="194" t="n">
        <x:f>'核心假设'!B37</x:f>
        <x:v>0.19</x:v>
      </x:c>
      <x:c r="I52" s="194" t="n">
        <x:f>'核心假设'!C37</x:f>
        <x:v>0.2</x:v>
      </x:c>
      <x:c r="J52" s="194" t="n">
        <x:f>'核心假设'!D37</x:f>
        <x:v>0.2</x:v>
      </x:c>
      <x:c r="K52" s="194" t="n">
        <x:f>'核心假设'!E37</x:f>
        <x:v>0.2</x:v>
      </x:c>
      <x:c r="L52" s="194" t="n">
        <x:f>'核心假设'!F37</x:f>
        <x:v>0.2</x:v>
      </x:c>
      <x:c r="M52" s="193" t="n">
        <x:f>MAX(ABS(C52-H52),ABS(D52-I52),ABS(E52-J52),ABS(F52-K52),ABS(G52-L52))</x:f>
        <x:v>0</x:v>
      </x:c>
      <x:c r="N52" s="32" t="str">
        <x:f>IF(M52&lt;=0.000001,"OK","CHECK")</x:f>
        <x:v>OK</x:v>
      </x:c>
    </x:row>
    <x:row r="53">
      <x:c r="A53" s="32" t="str">
        <x:v>悲观</x:v>
      </x:c>
      <x:c r="B53" s="32" t="str">
        <x:v>总股本（百万股）</x:v>
      </x:c>
      <x:c r="C53" s="193" t="n">
        <x:v>397.028823</x:v>
      </x:c>
      <x:c r="D53" s="193" t="n">
        <x:v>397.028823</x:v>
      </x:c>
      <x:c r="E53" s="193" t="n">
        <x:v>397.028823</x:v>
      </x:c>
      <x:c r="F53" s="193" t="n">
        <x:v>397.028823</x:v>
      </x:c>
      <x:c r="G53" s="193" t="n">
        <x:v>397.028823</x:v>
      </x:c>
      <x:c r="H53" s="194" t="n">
        <x:f>'核心假设'!B38</x:f>
        <x:v>397.028823</x:v>
      </x:c>
      <x:c r="I53" s="194" t="n">
        <x:f>'核心假设'!C38</x:f>
        <x:v>397.028823</x:v>
      </x:c>
      <x:c r="J53" s="194" t="n">
        <x:f>'核心假设'!D38</x:f>
        <x:v>397.028823</x:v>
      </x:c>
      <x:c r="K53" s="194" t="n">
        <x:f>'核心假设'!E38</x:f>
        <x:v>397.028823</x:v>
      </x:c>
      <x:c r="L53" s="194" t="n">
        <x:f>'核心假设'!F38</x:f>
        <x:v>397.028823</x:v>
      </x:c>
      <x:c r="M53" s="193" t="n">
        <x:f>MAX(ABS(C53-H53),ABS(D53-I53),ABS(E53-J53),ABS(F53-K53),ABS(G53-L53))</x:f>
        <x:v>0</x:v>
      </x:c>
      <x:c r="N53" s="32" t="str">
        <x:f>IF(M53&lt;=0.000001,"OK","CHECK")</x:f>
        <x:v>OK</x:v>
      </x:c>
    </x:row>
    <x:row r="54">
      <x:c r="A54" s="32" t="str">
        <x:v>悲观</x:v>
      </x:c>
      <x:c r="B54" s="32" t="str">
        <x:v>加工少数股东比例</x:v>
      </x:c>
      <x:c r="C54" s="193" t="n">
        <x:v>0.1</x:v>
      </x:c>
      <x:c r="D54" s="193" t="n">
        <x:v>0.1</x:v>
      </x:c>
      <x:c r="E54" s="193" t="n">
        <x:v>0.1</x:v>
      </x:c>
      <x:c r="F54" s="193" t="n">
        <x:v>0.1</x:v>
      </x:c>
      <x:c r="G54" s="193" t="n">
        <x:v>0.1</x:v>
      </x:c>
      <x:c r="H54" s="194" t="n">
        <x:f>'核心假设'!B39</x:f>
        <x:v>0.1</x:v>
      </x:c>
      <x:c r="I54" s="194" t="n">
        <x:f>'核心假设'!C39</x:f>
        <x:v>0.1</x:v>
      </x:c>
      <x:c r="J54" s="194" t="n">
        <x:f>'核心假设'!D39</x:f>
        <x:v>0.1</x:v>
      </x:c>
      <x:c r="K54" s="194" t="n">
        <x:f>'核心假设'!E39</x:f>
        <x:v>0.1</x:v>
      </x:c>
      <x:c r="L54" s="194" t="n">
        <x:f>'核心假设'!F39</x:f>
        <x:v>0.1</x:v>
      </x:c>
      <x:c r="M54" s="193" t="n">
        <x:f>MAX(ABS(C54-H54),ABS(D54-I54),ABS(E54-J54),ABS(F54-K54),ABS(G54-L54))</x:f>
        <x:v>0</x:v>
      </x:c>
      <x:c r="N54" s="32" t="str">
        <x:f>IF(M54&lt;=0.000001,"OK","CHECK")</x:f>
        <x:v>OK</x:v>
      </x:c>
    </x:row>
    <x:row r="55">
      <x:c r="A55" s="32" t="str">
        <x:v>悲观</x:v>
      </x:c>
      <x:c r="B55" s="32" t="str">
        <x:v>设备少数股东比例</x:v>
      </x:c>
      <x:c r="C55" s="193" t="n">
        <x:v>0.49</x:v>
      </x:c>
      <x:c r="D55" s="193" t="n">
        <x:v>0.49</x:v>
      </x:c>
      <x:c r="E55" s="193" t="n">
        <x:v>0.49</x:v>
      </x:c>
      <x:c r="F55" s="193" t="n">
        <x:v>0.49</x:v>
      </x:c>
      <x:c r="G55" s="193" t="n">
        <x:v>0.49</x:v>
      </x:c>
      <x:c r="H55" s="194" t="n">
        <x:f>'核心假设'!B40</x:f>
        <x:v>0.49</x:v>
      </x:c>
      <x:c r="I55" s="194" t="n">
        <x:f>'核心假设'!C40</x:f>
        <x:v>0.49</x:v>
      </x:c>
      <x:c r="J55" s="194" t="n">
        <x:f>'核心假设'!D40</x:f>
        <x:v>0.49</x:v>
      </x:c>
      <x:c r="K55" s="194" t="n">
        <x:f>'核心假设'!E40</x:f>
        <x:v>0.49</x:v>
      </x:c>
      <x:c r="L55" s="194" t="n">
        <x:f>'核心假设'!F40</x:f>
        <x:v>0.49</x:v>
      </x:c>
      <x:c r="M55" s="193" t="n">
        <x:f>MAX(ABS(C55-H55),ABS(D55-I55),ABS(E55-J55),ABS(F55-K55),ABS(G55-L55))</x:f>
        <x:v>0</x:v>
      </x:c>
      <x:c r="N55" s="32" t="str">
        <x:f>IF(M55&lt;=0.000001,"OK","CHECK")</x:f>
        <x:v>OK</x:v>
      </x:c>
    </x:row>
    <x:row r="56">
      <x:c r="A56" s="32" t="str">
        <x:v>悲观</x:v>
      </x:c>
      <x:c r="B56" s="32" t="str">
        <x:v>耗材少数股东比例</x:v>
      </x:c>
      <x:c r="C56" s="193" t="n">
        <x:v>0.3</x:v>
      </x:c>
      <x:c r="D56" s="193" t="n">
        <x:v>0.3</x:v>
      </x:c>
      <x:c r="E56" s="193" t="n">
        <x:v>0.3</x:v>
      </x:c>
      <x:c r="F56" s="193" t="n">
        <x:v>0.3</x:v>
      </x:c>
      <x:c r="G56" s="193" t="n">
        <x:v>0.3</x:v>
      </x:c>
      <x:c r="H56" s="194" t="n">
        <x:f>'核心假设'!B41</x:f>
        <x:v>0.3</x:v>
      </x:c>
      <x:c r="I56" s="194" t="n">
        <x:f>'核心假设'!C41</x:f>
        <x:v>0.3</x:v>
      </x:c>
      <x:c r="J56" s="194" t="n">
        <x:f>'核心假设'!D41</x:f>
        <x:v>0.3</x:v>
      </x:c>
      <x:c r="K56" s="194" t="n">
        <x:f>'核心假设'!E41</x:f>
        <x:v>0.3</x:v>
      </x:c>
      <x:c r="L56" s="194" t="n">
        <x:f>'核心假设'!F41</x:f>
        <x:v>0.3</x:v>
      </x:c>
      <x:c r="M56" s="193" t="n">
        <x:f>MAX(ABS(C56-H56),ABS(D56-I56),ABS(E56-J56),ABS(F56-K56),ABS(G56-L56))</x:f>
        <x:v>0</x:v>
      </x:c>
      <x:c r="N56" s="32" t="str">
        <x:f>IF(M56&lt;=0.000001,"OK","CHECK")</x:f>
        <x:v>OK</x:v>
      </x:c>
    </x:row>
    <x:row r="57">
      <x:c r="A57" s="32" t="str">
        <x:v>基准</x:v>
      </x:c>
      <x:c r="B57" s="32" t="str">
        <x:v>可覆盖终端池（百万部）</x:v>
      </x:c>
      <x:c r="C57" s="193" t="n">
        <x:v>228</x:v>
      </x:c>
      <x:c r="D57" s="193" t="n">
        <x:v>240</x:v>
      </x:c>
      <x:c r="E57" s="193" t="n">
        <x:v>270</x:v>
      </x:c>
      <x:c r="F57" s="193" t="n">
        <x:v>300</x:v>
      </x:c>
      <x:c r="G57" s="193" t="n">
        <x:v>330</x:v>
      </x:c>
      <x:c r="H57" s="194" t="n">
        <x:f>'核心假设'!I6</x:f>
        <x:v>228</x:v>
      </x:c>
      <x:c r="I57" s="194" t="n">
        <x:f>'核心假设'!J6</x:f>
        <x:v>240</x:v>
      </x:c>
      <x:c r="J57" s="194" t="n">
        <x:f>'核心假设'!K6</x:f>
        <x:v>270</x:v>
      </x:c>
      <x:c r="K57" s="194" t="n">
        <x:f>'核心假设'!L6</x:f>
        <x:v>300</x:v>
      </x:c>
      <x:c r="L57" s="194" t="n">
        <x:f>'核心假设'!M6</x:f>
        <x:v>330</x:v>
      </x:c>
      <x:c r="M57" s="193" t="n">
        <x:f>MAX(ABS(C57-H57),ABS(D57-I57),ABS(E57-J57),ABS(F57-K57),ABS(G57-L57))</x:f>
        <x:v>0</x:v>
      </x:c>
      <x:c r="N57" s="32" t="str">
        <x:f>IF(M57&lt;=0.000001,"OK","CHECK")</x:f>
        <x:v>OK</x:v>
      </x:c>
    </x:row>
    <x:row r="58">
      <x:c r="A58" s="32" t="str">
        <x:v>基准</x:v>
      </x:c>
      <x:c r="B58" s="32" t="str">
        <x:v>新工艺采用率</x:v>
      </x:c>
      <x:c r="C58" s="193" t="n">
        <x:v>0.05</x:v>
      </x:c>
      <x:c r="D58" s="193" t="n">
        <x:v>0.25</x:v>
      </x:c>
      <x:c r="E58" s="193" t="n">
        <x:v>0.32</x:v>
      </x:c>
      <x:c r="F58" s="193" t="n">
        <x:v>0.38</x:v>
      </x:c>
      <x:c r="G58" s="193" t="n">
        <x:v>0.43</x:v>
      </x:c>
      <x:c r="H58" s="194" t="n">
        <x:f>'核心假设'!I7</x:f>
        <x:v>0.05</x:v>
      </x:c>
      <x:c r="I58" s="194" t="n">
        <x:f>'核心假设'!J7</x:f>
        <x:v>0.25</x:v>
      </x:c>
      <x:c r="J58" s="194" t="n">
        <x:f>'核心假设'!K7</x:f>
        <x:v>0.32</x:v>
      </x:c>
      <x:c r="K58" s="194" t="n">
        <x:f>'核心假设'!L7</x:f>
        <x:v>0.38</x:v>
      </x:c>
      <x:c r="L58" s="194" t="n">
        <x:f>'核心假设'!M7</x:f>
        <x:v>0.43</x:v>
      </x:c>
      <x:c r="M58" s="193" t="n">
        <x:f>MAX(ABS(C58-H58),ABS(D58-I58),ABS(E58-J58),ABS(F58-K58),ABS(G58-L58))</x:f>
        <x:v>0</x:v>
      </x:c>
      <x:c r="N58" s="32" t="str">
        <x:f>IF(M58&lt;=0.000001,"OK","CHECK")</x:f>
        <x:v>OK</x:v>
      </x:c>
    </x:row>
    <x:row r="59">
      <x:c r="A59" s="32" t="str">
        <x:v>基准</x:v>
      </x:c>
      <x:c r="B59" s="32" t="str">
        <x:v>前端片数放大系数</x:v>
      </x:c>
      <x:c r="C59" s="193" t="n">
        <x:v>1.45</x:v>
      </x:c>
      <x:c r="D59" s="193" t="n">
        <x:v>1.4</x:v>
      </x:c>
      <x:c r="E59" s="193" t="n">
        <x:v>1.4</x:v>
      </x:c>
      <x:c r="F59" s="193" t="n">
        <x:v>1.35</x:v>
      </x:c>
      <x:c r="G59" s="193" t="n">
        <x:v>1.3</x:v>
      </x:c>
      <x:c r="H59" s="194" t="n">
        <x:f>'核心假设'!I8</x:f>
        <x:v>1.45</x:v>
      </x:c>
      <x:c r="I59" s="194" t="n">
        <x:f>'核心假设'!J8</x:f>
        <x:v>1.4</x:v>
      </x:c>
      <x:c r="J59" s="194" t="n">
        <x:f>'核心假设'!K8</x:f>
        <x:v>1.4</x:v>
      </x:c>
      <x:c r="K59" s="194" t="n">
        <x:f>'核心假设'!L8</x:f>
        <x:v>1.35</x:v>
      </x:c>
      <x:c r="L59" s="194" t="n">
        <x:f>'核心假设'!M8</x:f>
        <x:v>1.3</x:v>
      </x:c>
      <x:c r="M59" s="193" t="n">
        <x:f>MAX(ABS(C59-H59),ABS(D59-I59),ABS(E59-J59),ABS(F59-K59),ABS(G59-L59))</x:f>
        <x:v>0</x:v>
      </x:c>
      <x:c r="N59" s="32" t="str">
        <x:f>IF(M59&lt;=0.000001,"OK","CHECK")</x:f>
        <x:v>OK</x:v>
      </x:c>
    </x:row>
    <x:row r="60">
      <x:c r="A60" s="32" t="str">
        <x:v>基准</x:v>
      </x:c>
      <x:c r="B60" s="32" t="str">
        <x:v>岱勒加工份额</x:v>
      </x:c>
      <x:c r="C60" s="193" t="n">
        <x:v>0.85</x:v>
      </x:c>
      <x:c r="D60" s="193" t="n">
        <x:v>0.78</x:v>
      </x:c>
      <x:c r="E60" s="193" t="n">
        <x:v>0.78</x:v>
      </x:c>
      <x:c r="F60" s="193" t="n">
        <x:v>0.75</x:v>
      </x:c>
      <x:c r="G60" s="193" t="n">
        <x:v>0.72</x:v>
      </x:c>
      <x:c r="H60" s="194" t="n">
        <x:f>'核心假设'!I9</x:f>
        <x:v>0.85</x:v>
      </x:c>
      <x:c r="I60" s="194" t="n">
        <x:f>'核心假设'!J9</x:f>
        <x:v>0.78</x:v>
      </x:c>
      <x:c r="J60" s="194" t="n">
        <x:f>'核心假设'!K9</x:f>
        <x:v>0.78</x:v>
      </x:c>
      <x:c r="K60" s="194" t="n">
        <x:f>'核心假设'!L9</x:f>
        <x:v>0.75</x:v>
      </x:c>
      <x:c r="L60" s="194" t="n">
        <x:f>'核心假设'!M9</x:f>
        <x:v>0.72</x:v>
      </x:c>
      <x:c r="M60" s="193" t="n">
        <x:f>MAX(ABS(C60-H60),ABS(D60-I60),ABS(E60-J60),ABS(F60-K60),ABS(G60-L60))</x:f>
        <x:v>0</x:v>
      </x:c>
      <x:c r="N60" s="32" t="str">
        <x:f>IF(M60&lt;=0.000001,"OK","CHECK")</x:f>
        <x:v>OK</x:v>
      </x:c>
    </x:row>
    <x:row r="61">
      <x:c r="A61" s="32" t="str">
        <x:v>基准</x:v>
      </x:c>
      <x:c r="B61" s="32" t="str">
        <x:v>单片加工费（元）</x:v>
      </x:c>
      <x:c r="C61" s="193" t="n">
        <x:v>7</x:v>
      </x:c>
      <x:c r="D61" s="193" t="n">
        <x:v>10</x:v>
      </x:c>
      <x:c r="E61" s="193" t="n">
        <x:v>10.5</x:v>
      </x:c>
      <x:c r="F61" s="193" t="n">
        <x:v>11</x:v>
      </x:c>
      <x:c r="G61" s="193" t="n">
        <x:v>11.5</x:v>
      </x:c>
      <x:c r="H61" s="194" t="n">
        <x:f>'核心假设'!I10</x:f>
        <x:v>7</x:v>
      </x:c>
      <x:c r="I61" s="194" t="n">
        <x:f>'核心假设'!J10</x:f>
        <x:v>10</x:v>
      </x:c>
      <x:c r="J61" s="194" t="n">
        <x:f>'核心假设'!K10</x:f>
        <x:v>10.5</x:v>
      </x:c>
      <x:c r="K61" s="194" t="n">
        <x:f>'核心假设'!L10</x:f>
        <x:v>11</x:v>
      </x:c>
      <x:c r="L61" s="194" t="n">
        <x:f>'核心假设'!M10</x:f>
        <x:v>11.5</x:v>
      </x:c>
      <x:c r="M61" s="193" t="n">
        <x:f>MAX(ABS(C61-H61),ABS(D61-I61),ABS(E61-J61),ABS(F61-K61),ABS(G61-L61))</x:f>
        <x:v>0</x:v>
      </x:c>
      <x:c r="N61" s="32" t="str">
        <x:f>IF(M61&lt;=0.000001,"OK","CHECK")</x:f>
        <x:v>OK</x:v>
      </x:c>
    </x:row>
    <x:row r="62">
      <x:c r="A62" s="32" t="str">
        <x:v>基准</x:v>
      </x:c>
      <x:c r="B62" s="32" t="str">
        <x:v>外部产线占比（仅外售线）</x:v>
      </x:c>
      <x:c r="C62" s="193" t="n">
        <x:v>0.6</x:v>
      </x:c>
      <x:c r="D62" s="193" t="n">
        <x:v>0.75</x:v>
      </x:c>
      <x:c r="E62" s="193" t="n">
        <x:v>0.72</x:v>
      </x:c>
      <x:c r="F62" s="193" t="n">
        <x:v>0.75</x:v>
      </x:c>
      <x:c r="G62" s="193" t="n">
        <x:v>0.78</x:v>
      </x:c>
      <x:c r="H62" s="194" t="n">
        <x:f>'核心假设'!I11</x:f>
        <x:v>0.6</x:v>
      </x:c>
      <x:c r="I62" s="194" t="n">
        <x:f>'核心假设'!J11</x:f>
        <x:v>0.75</x:v>
      </x:c>
      <x:c r="J62" s="194" t="n">
        <x:f>'核心假设'!K11</x:f>
        <x:v>0.72</x:v>
      </x:c>
      <x:c r="K62" s="194" t="n">
        <x:f>'核心假设'!L11</x:f>
        <x:v>0.75</x:v>
      </x:c>
      <x:c r="L62" s="194" t="n">
        <x:f>'核心假设'!M11</x:f>
        <x:v>0.78</x:v>
      </x:c>
      <x:c r="M62" s="193" t="n">
        <x:f>MAX(ABS(C62-H62),ABS(D62-I62),ABS(E62-J62),ABS(F62-K62),ABS(G62-L62))</x:f>
        <x:v>0</x:v>
      </x:c>
      <x:c r="N62" s="32" t="str">
        <x:f>IF(M62&lt;=0.000001,"OK","CHECK")</x:f>
        <x:v>OK</x:v>
      </x:c>
    </x:row>
    <x:row r="63">
      <x:c r="A63" s="32" t="str">
        <x:v>基准</x:v>
      </x:c>
      <x:c r="B63" s="32" t="str">
        <x:v>单片外售金刚线价值（元）</x:v>
      </x:c>
      <x:c r="C63" s="193" t="n">
        <x:v>0.25</x:v>
      </x:c>
      <x:c r="D63" s="193" t="n">
        <x:v>1</x:v>
      </x:c>
      <x:c r="E63" s="193" t="n">
        <x:v>0.65</x:v>
      </x:c>
      <x:c r="F63" s="193" t="n">
        <x:v>0.5</x:v>
      </x:c>
      <x:c r="G63" s="193" t="n">
        <x:v>0.55</x:v>
      </x:c>
      <x:c r="H63" s="194" t="n">
        <x:f>'核心假设'!I12</x:f>
        <x:v>0.25</x:v>
      </x:c>
      <x:c r="I63" s="194" t="n">
        <x:f>'核心假设'!J12</x:f>
        <x:v>1</x:v>
      </x:c>
      <x:c r="J63" s="194" t="n">
        <x:f>'核心假设'!K12</x:f>
        <x:v>0.65</x:v>
      </x:c>
      <x:c r="K63" s="194" t="n">
        <x:f>'核心假设'!L12</x:f>
        <x:v>0.5</x:v>
      </x:c>
      <x:c r="L63" s="194" t="n">
        <x:f>'核心假设'!M12</x:f>
        <x:v>0.55</x:v>
      </x:c>
      <x:c r="M63" s="193" t="n">
        <x:f>MAX(ABS(C63-H63),ABS(D63-I63),ABS(E63-J63),ABS(F63-K63),ABS(G63-L63))</x:f>
        <x:v>0</x:v>
      </x:c>
      <x:c r="N63" s="32" t="str">
        <x:f>IF(M63&lt;=0.000001,"OK","CHECK")</x:f>
        <x:v>OK</x:v>
      </x:c>
    </x:row>
    <x:row r="64">
      <x:c r="A64" s="32" t="str">
        <x:v>基准</x:v>
      </x:c>
      <x:c r="B64" s="32" t="str">
        <x:v>加工毛利率</x:v>
      </x:c>
      <x:c r="C64" s="193" t="n">
        <x:v>0.3585</x:v>
      </x:c>
      <x:c r="D64" s="193" t="n">
        <x:v>0.36</x:v>
      </x:c>
      <x:c r="E64" s="193" t="n">
        <x:v>0.37</x:v>
      </x:c>
      <x:c r="F64" s="193" t="n">
        <x:v>0.38</x:v>
      </x:c>
      <x:c r="G64" s="193" t="n">
        <x:v>0.39</x:v>
      </x:c>
      <x:c r="H64" s="194" t="n">
        <x:f>'核心假设'!I13</x:f>
        <x:v>0.3585</x:v>
      </x:c>
      <x:c r="I64" s="194" t="n">
        <x:f>'核心假设'!J13</x:f>
        <x:v>0.36</x:v>
      </x:c>
      <x:c r="J64" s="194" t="n">
        <x:f>'核心假设'!K13</x:f>
        <x:v>0.37</x:v>
      </x:c>
      <x:c r="K64" s="194" t="n">
        <x:f>'核心假设'!L13</x:f>
        <x:v>0.38</x:v>
      </x:c>
      <x:c r="L64" s="194" t="n">
        <x:f>'核心假设'!M13</x:f>
        <x:v>0.39</x:v>
      </x:c>
      <x:c r="M64" s="193" t="n">
        <x:f>MAX(ABS(C64-H64),ABS(D64-I64),ABS(E64-J64),ABS(F64-K64),ABS(G64-L64))</x:f>
        <x:v>0</x:v>
      </x:c>
      <x:c r="N64" s="32" t="str">
        <x:f>IF(M64&lt;=0.000001,"OK","CHECK")</x:f>
        <x:v>OK</x:v>
      </x:c>
    </x:row>
    <x:row r="65">
      <x:c r="A65" s="32" t="str">
        <x:v>基准</x:v>
      </x:c>
      <x:c r="B65" s="32" t="str">
        <x:v>外售切割线毛利率</x:v>
      </x:c>
      <x:c r="C65" s="193" t="n">
        <x:v>0.2</x:v>
      </x:c>
      <x:c r="D65" s="193" t="n">
        <x:v>0.22</x:v>
      </x:c>
      <x:c r="E65" s="193" t="n">
        <x:v>0.24</x:v>
      </x:c>
      <x:c r="F65" s="193" t="n">
        <x:v>0.26</x:v>
      </x:c>
      <x:c r="G65" s="193" t="n">
        <x:v>0.28</x:v>
      </x:c>
      <x:c r="H65" s="194" t="n">
        <x:f>'核心假设'!I14</x:f>
        <x:v>0.2</x:v>
      </x:c>
      <x:c r="I65" s="194" t="n">
        <x:f>'核心假设'!J14</x:f>
        <x:v>0.22</x:v>
      </x:c>
      <x:c r="J65" s="194" t="n">
        <x:f>'核心假设'!K14</x:f>
        <x:v>0.24</x:v>
      </x:c>
      <x:c r="K65" s="194" t="n">
        <x:f>'核心假设'!L14</x:f>
        <x:v>0.26</x:v>
      </x:c>
      <x:c r="L65" s="194" t="n">
        <x:f>'核心假设'!M14</x:f>
        <x:v>0.28</x:v>
      </x:c>
      <x:c r="M65" s="193" t="n">
        <x:f>MAX(ABS(C65-H65),ABS(D65-I65),ABS(E65-J65),ABS(F65-K65),ABS(G65-L65))</x:f>
        <x:v>0</x:v>
      </x:c>
      <x:c r="N65" s="32" t="str">
        <x:f>IF(M65&lt;=0.000001,"OK","CHECK")</x:f>
        <x:v>OK</x:v>
      </x:c>
    </x:row>
    <x:row r="66">
      <x:c r="A66" s="32" t="str">
        <x:v>基准</x:v>
      </x:c>
      <x:c r="B66" s="32" t="str">
        <x:v>首批设备口径（百万元）</x:v>
      </x:c>
      <x:c r="C66" s="193" t="n">
        <x:v>1500</x:v>
      </x:c>
      <x:c r="D66" s="193" t="n">
        <x:v>2500</x:v>
      </x:c>
      <x:c r="E66" s="193" t="n">
        <x:v>2500</x:v>
      </x:c>
      <x:c r="F66" s="193" t="n">
        <x:v>1500</x:v>
      </x:c>
      <x:c r="G66" s="193" t="n">
        <x:v>1500</x:v>
      </x:c>
      <x:c r="H66" s="194" t="n">
        <x:f>'核心假设'!I17</x:f>
        <x:v>1500</x:v>
      </x:c>
      <x:c r="I66" s="194" t="n">
        <x:f>'核心假设'!J17</x:f>
        <x:v>2500</x:v>
      </x:c>
      <x:c r="J66" s="194" t="n">
        <x:f>'核心假设'!K17</x:f>
        <x:v>2500</x:v>
      </x:c>
      <x:c r="K66" s="194" t="n">
        <x:f>'核心假设'!L17</x:f>
        <x:v>1500</x:v>
      </x:c>
      <x:c r="L66" s="194" t="n">
        <x:f>'核心假设'!M17</x:f>
        <x:v>1500</x:v>
      </x:c>
      <x:c r="M66" s="193" t="n">
        <x:f>MAX(ABS(C66-H66),ABS(D66-I66),ABS(E66-J66),ABS(F66-K66),ABS(G66-L66))</x:f>
        <x:v>0</x:v>
      </x:c>
      <x:c r="N66" s="32" t="str">
        <x:f>IF(M66&lt;=0.000001,"OK","CHECK")</x:f>
        <x:v>OK</x:v>
      </x:c>
    </x:row>
    <x:row r="67">
      <x:c r="A67" s="32" t="str">
        <x:v>基准</x:v>
      </x:c>
      <x:c r="B67" s="32" t="str">
        <x:v>首批设备兑现比例</x:v>
      </x:c>
      <x:c r="C67" s="193" t="n">
        <x:v>0.1</x:v>
      </x:c>
      <x:c r="D67" s="193" t="n">
        <x:v>0.5</x:v>
      </x:c>
      <x:c r="E67" s="193" t="n">
        <x:v>0.5</x:v>
      </x:c>
      <x:c r="F67" s="193" t="n">
        <x:v>0.25</x:v>
      </x:c>
      <x:c r="G67" s="193" t="n">
        <x:v>0.25</x:v>
      </x:c>
      <x:c r="H67" s="194" t="n">
        <x:f>'核心假设'!I18</x:f>
        <x:v>0.1</x:v>
      </x:c>
      <x:c r="I67" s="194" t="n">
        <x:f>'核心假设'!J18</x:f>
        <x:v>0.5</x:v>
      </x:c>
      <x:c r="J67" s="194" t="n">
        <x:f>'核心假设'!K18</x:f>
        <x:v>0.5</x:v>
      </x:c>
      <x:c r="K67" s="194" t="n">
        <x:f>'核心假设'!L18</x:f>
        <x:v>0.25</x:v>
      </x:c>
      <x:c r="L67" s="194" t="n">
        <x:f>'核心假设'!M18</x:f>
        <x:v>0.25</x:v>
      </x:c>
      <x:c r="M67" s="193" t="n">
        <x:f>MAX(ABS(C67-H67),ABS(D67-I67),ABS(E67-J67),ABS(F67-K67),ABS(G67-L67))</x:f>
        <x:v>0</x:v>
      </x:c>
      <x:c r="N67" s="32" t="str">
        <x:f>IF(M67&lt;=0.000001,"OK","CHECK")</x:f>
        <x:v>OK</x:v>
      </x:c>
    </x:row>
    <x:row r="68">
      <x:c r="A68" s="32" t="str">
        <x:v>基准</x:v>
      </x:c>
      <x:c r="B68" s="32" t="str">
        <x:v>首批设备交付节奏</x:v>
      </x:c>
      <x:c r="C68" s="193" t="n">
        <x:v>0</x:v>
      </x:c>
      <x:c r="D68" s="193" t="n">
        <x:v>0.6</x:v>
      </x:c>
      <x:c r="E68" s="193" t="n">
        <x:v>0.72</x:v>
      </x:c>
      <x:c r="F68" s="193" t="n">
        <x:v>0</x:v>
      </x:c>
      <x:c r="G68" s="193" t="n">
        <x:v>0</x:v>
      </x:c>
      <x:c r="H68" s="194" t="n">
        <x:f>'核心假设'!I19</x:f>
        <x:v>0</x:v>
      </x:c>
      <x:c r="I68" s="194" t="n">
        <x:f>'核心假设'!J19</x:f>
        <x:v>0.6</x:v>
      </x:c>
      <x:c r="J68" s="194" t="n">
        <x:f>'核心假设'!K19</x:f>
        <x:v>0.72</x:v>
      </x:c>
      <x:c r="K68" s="194" t="n">
        <x:f>'核心假设'!L19</x:f>
        <x:v>0</x:v>
      </x:c>
      <x:c r="L68" s="194" t="n">
        <x:f>'核心假设'!M19</x:f>
        <x:v>0</x:v>
      </x:c>
      <x:c r="M68" s="193" t="n">
        <x:f>MAX(ABS(C68-H68),ABS(D68-I68),ABS(E68-J68),ABS(F68-K68),ABS(G68-L68))</x:f>
        <x:v>0</x:v>
      </x:c>
      <x:c r="N68" s="32" t="str">
        <x:f>IF(M68&lt;=0.000001,"OK","CHECK")</x:f>
        <x:v>OK</x:v>
      </x:c>
    </x:row>
    <x:row r="69">
      <x:c r="A69" s="32" t="str">
        <x:v>基准</x:v>
      </x:c>
      <x:c r="B69" s="32" t="str">
        <x:v>维护/海外/后续设备收入（百万元）</x:v>
      </x:c>
      <x:c r="C69" s="193" t="n">
        <x:v>100</x:v>
      </x:c>
      <x:c r="D69" s="193" t="n">
        <x:v>450</x:v>
      </x:c>
      <x:c r="E69" s="193" t="n">
        <x:v>450</x:v>
      </x:c>
      <x:c r="F69" s="193" t="n">
        <x:v>1560</x:v>
      </x:c>
      <x:c r="G69" s="193" t="n">
        <x:v>1600</x:v>
      </x:c>
      <x:c r="H69" s="194" t="n">
        <x:f>'核心假设'!I20</x:f>
        <x:v>100</x:v>
      </x:c>
      <x:c r="I69" s="194" t="n">
        <x:f>'核心假设'!J20</x:f>
        <x:v>450</x:v>
      </x:c>
      <x:c r="J69" s="194" t="n">
        <x:f>'核心假设'!K20</x:f>
        <x:v>450</x:v>
      </x:c>
      <x:c r="K69" s="194" t="n">
        <x:f>'核心假设'!L20</x:f>
        <x:v>1560</x:v>
      </x:c>
      <x:c r="L69" s="194" t="n">
        <x:f>'核心假设'!M20</x:f>
        <x:v>1600</x:v>
      </x:c>
      <x:c r="M69" s="193" t="n">
        <x:f>MAX(ABS(C69-H69),ABS(D69-I69),ABS(E69-J69),ABS(F69-K69),ABS(G69-L69))</x:f>
        <x:v>0</x:v>
      </x:c>
      <x:c r="N69" s="32" t="str">
        <x:f>IF(M69&lt;=0.000001,"OK","CHECK")</x:f>
        <x:v>OK</x:v>
      </x:c>
    </x:row>
    <x:row r="70">
      <x:c r="A70" s="32" t="str">
        <x:v>基准</x:v>
      </x:c>
      <x:c r="B70" s="32" t="str">
        <x:v>设备毛利率</x:v>
      </x:c>
      <x:c r="C70" s="193" t="n">
        <x:v>0.3</x:v>
      </x:c>
      <x:c r="D70" s="193" t="n">
        <x:v>0.3</x:v>
      </x:c>
      <x:c r="E70" s="193" t="n">
        <x:v>0.3</x:v>
      </x:c>
      <x:c r="F70" s="193" t="n">
        <x:v>0.3</x:v>
      </x:c>
      <x:c r="G70" s="193" t="n">
        <x:v>0.3</x:v>
      </x:c>
      <x:c r="H70" s="194" t="n">
        <x:f>'核心假设'!I21</x:f>
        <x:v>0.3</x:v>
      </x:c>
      <x:c r="I70" s="194" t="n">
        <x:f>'核心假设'!J21</x:f>
        <x:v>0.3</x:v>
      </x:c>
      <x:c r="J70" s="194" t="n">
        <x:f>'核心假设'!K21</x:f>
        <x:v>0.3</x:v>
      </x:c>
      <x:c r="K70" s="194" t="n">
        <x:f>'核心假设'!L21</x:f>
        <x:v>0.3</x:v>
      </x:c>
      <x:c r="L70" s="194" t="n">
        <x:f>'核心假设'!M21</x:f>
        <x:v>0.3</x:v>
      </x:c>
      <x:c r="M70" s="193" t="n">
        <x:f>MAX(ABS(C70-H70),ABS(D70-I70),ABS(E70-J70),ABS(F70-K70),ABS(G70-L70))</x:f>
        <x:v>0</x:v>
      </x:c>
      <x:c r="N70" s="32" t="str">
        <x:f>IF(M70&lt;=0.000001,"OK","CHECK")</x:f>
        <x:v>OK</x:v>
      </x:c>
    </x:row>
    <x:row r="71">
      <x:c r="A71" s="32" t="str">
        <x:v>基准</x:v>
      </x:c>
      <x:c r="B71" s="32" t="str">
        <x:v>设备内部销售占比</x:v>
      </x:c>
      <x:c r="C71" s="193" t="n">
        <x:v>0</x:v>
      </x:c>
      <x:c r="D71" s="193" t="n">
        <x:v>0</x:v>
      </x:c>
      <x:c r="E71" s="193" t="n">
        <x:v>0</x:v>
      </x:c>
      <x:c r="F71" s="193" t="n">
        <x:v>0</x:v>
      </x:c>
      <x:c r="G71" s="193" t="n">
        <x:v>0</x:v>
      </x:c>
      <x:c r="H71" s="194" t="n">
        <x:f>'核心假设'!I22</x:f>
        <x:v>0</x:v>
      </x:c>
      <x:c r="I71" s="194" t="n">
        <x:f>'核心假设'!J22</x:f>
        <x:v>0</x:v>
      </x:c>
      <x:c r="J71" s="194" t="n">
        <x:f>'核心假设'!K22</x:f>
        <x:v>0</x:v>
      </x:c>
      <x:c r="K71" s="194" t="n">
        <x:f>'核心假设'!L22</x:f>
        <x:v>0</x:v>
      </x:c>
      <x:c r="L71" s="194" t="n">
        <x:f>'核心假设'!M22</x:f>
        <x:v>0</x:v>
      </x:c>
      <x:c r="M71" s="193" t="n">
        <x:f>MAX(ABS(C71-H71),ABS(D71-I71),ABS(E71-J71),ABS(F71-K71),ABS(G71-L71))</x:f>
        <x:v>0</x:v>
      </x:c>
      <x:c r="N71" s="32" t="str">
        <x:f>IF(M71&lt;=0.000001,"OK","CHECK")</x:f>
        <x:v>OK</x:v>
      </x:c>
    </x:row>
    <x:row r="72">
      <x:c r="A72" s="32" t="str">
        <x:v>基准</x:v>
      </x:c>
      <x:c r="B72" s="32" t="str">
        <x:v>已验证可争取耗材池（百万元）</x:v>
      </x:c>
      <x:c r="C72" s="193" t="n">
        <x:v>500</x:v>
      </x:c>
      <x:c r="D72" s="193" t="n">
        <x:v>2500</x:v>
      </x:c>
      <x:c r="E72" s="193" t="n">
        <x:v>2750</x:v>
      </x:c>
      <x:c r="F72" s="193" t="n">
        <x:v>3250</x:v>
      </x:c>
      <x:c r="G72" s="193" t="n">
        <x:v>4000</x:v>
      </x:c>
      <x:c r="H72" s="194" t="n">
        <x:f>'核心假设'!I24</x:f>
        <x:v>500</x:v>
      </x:c>
      <x:c r="I72" s="194" t="n">
        <x:f>'核心假设'!J24</x:f>
        <x:v>2500</x:v>
      </x:c>
      <x:c r="J72" s="194" t="n">
        <x:f>'核心假设'!K24</x:f>
        <x:v>2750</x:v>
      </x:c>
      <x:c r="K72" s="194" t="n">
        <x:f>'核心假设'!L24</x:f>
        <x:v>3250</x:v>
      </x:c>
      <x:c r="L72" s="194" t="n">
        <x:f>'核心假设'!M24</x:f>
        <x:v>4000</x:v>
      </x:c>
      <x:c r="M72" s="193" t="n">
        <x:f>MAX(ABS(C72-H72),ABS(D72-I72),ABS(E72-J72),ABS(F72-K72),ABS(G72-L72))</x:f>
        <x:v>0</x:v>
      </x:c>
      <x:c r="N72" s="32" t="str">
        <x:f>IF(M72&lt;=0.000001,"OK","CHECK")</x:f>
        <x:v>OK</x:v>
      </x:c>
    </x:row>
    <x:row r="73">
      <x:c r="A73" s="32" t="str">
        <x:v>基准</x:v>
      </x:c>
      <x:c r="B73" s="32" t="str">
        <x:v>外售耗材份额</x:v>
      </x:c>
      <x:c r="C73" s="193" t="n">
        <x:v>0.05</x:v>
      </x:c>
      <x:c r="D73" s="193" t="n">
        <x:v>0.2</x:v>
      </x:c>
      <x:c r="E73" s="193" t="n">
        <x:v>0.2588235294117647</x:v>
      </x:c>
      <x:c r="F73" s="193" t="n">
        <x:v>0.29411764705882354</x:v>
      </x:c>
      <x:c r="G73" s="193" t="n">
        <x:v>0.35294117647058826</x:v>
      </x:c>
      <x:c r="H73" s="194" t="n">
        <x:f>'核心假设'!I25</x:f>
        <x:v>0.05</x:v>
      </x:c>
      <x:c r="I73" s="194" t="n">
        <x:f>'核心假设'!J25</x:f>
        <x:v>0.2</x:v>
      </x:c>
      <x:c r="J73" s="194" t="n">
        <x:f>'核心假设'!K25</x:f>
        <x:v>0.2588235294117647</x:v>
      </x:c>
      <x:c r="K73" s="194" t="n">
        <x:f>'核心假设'!L25</x:f>
        <x:v>0.29411764705882354</x:v>
      </x:c>
      <x:c r="L73" s="194" t="n">
        <x:f>'核心假设'!M25</x:f>
        <x:v>0.35294117647058826</x:v>
      </x:c>
      <x:c r="M73" s="193" t="n">
        <x:f>MAX(ABS(C73-H73),ABS(D73-I73),ABS(E73-J73),ABS(F73-K73),ABS(G73-L73))</x:f>
        <x:v>0</x:v>
      </x:c>
      <x:c r="N73" s="32" t="str">
        <x:f>IF(M73&lt;=0.000001,"OK","CHECK")</x:f>
        <x:v>OK</x:v>
      </x:c>
    </x:row>
    <x:row r="74">
      <x:c r="A74" s="32" t="str">
        <x:v>基准</x:v>
      </x:c>
      <x:c r="B74" s="32" t="str">
        <x:v>耗材毛利率</x:v>
      </x:c>
      <x:c r="C74" s="193" t="n">
        <x:v>0.3</x:v>
      </x:c>
      <x:c r="D74" s="193" t="n">
        <x:v>0.3</x:v>
      </x:c>
      <x:c r="E74" s="193" t="n">
        <x:v>0.3</x:v>
      </x:c>
      <x:c r="F74" s="193" t="n">
        <x:v>0.3</x:v>
      </x:c>
      <x:c r="G74" s="193" t="n">
        <x:v>0.3</x:v>
      </x:c>
      <x:c r="H74" s="194" t="n">
        <x:f>'核心假设'!I26</x:f>
        <x:v>0.3</x:v>
      </x:c>
      <x:c r="I74" s="194" t="n">
        <x:f>'核心假设'!J26</x:f>
        <x:v>0.3</x:v>
      </x:c>
      <x:c r="J74" s="194" t="n">
        <x:f>'核心假设'!K26</x:f>
        <x:v>0.3</x:v>
      </x:c>
      <x:c r="K74" s="194" t="n">
        <x:f>'核心假设'!L26</x:f>
        <x:v>0.3</x:v>
      </x:c>
      <x:c r="L74" s="194" t="n">
        <x:f>'核心假设'!M26</x:f>
        <x:v>0.3</x:v>
      </x:c>
      <x:c r="M74" s="193" t="n">
        <x:f>MAX(ABS(C74-H74),ABS(D74-I74),ABS(E74-J74),ABS(F74-K74),ABS(G74-L74))</x:f>
        <x:v>0</x:v>
      </x:c>
      <x:c r="N74" s="32" t="str">
        <x:f>IF(M74&lt;=0.000001,"OK","CHECK")</x:f>
        <x:v>OK</x:v>
      </x:c>
    </x:row>
    <x:row r="75">
      <x:c r="A75" s="32" t="str">
        <x:v>基准</x:v>
      </x:c>
      <x:c r="B75" s="32" t="str">
        <x:v>存量业务收入（百万元）</x:v>
      </x:c>
      <x:c r="C75" s="193" t="n">
        <x:v>440</x:v>
      </x:c>
      <x:c r="D75" s="193" t="n">
        <x:v>460</x:v>
      </x:c>
      <x:c r="E75" s="193" t="n">
        <x:v>480</x:v>
      </x:c>
      <x:c r="F75" s="193" t="n">
        <x:v>500</x:v>
      </x:c>
      <x:c r="G75" s="193" t="n">
        <x:v>520</x:v>
      </x:c>
      <x:c r="H75" s="194" t="n">
        <x:f>'核心假设'!I29</x:f>
        <x:v>440</x:v>
      </x:c>
      <x:c r="I75" s="194" t="n">
        <x:f>'核心假设'!J29</x:f>
        <x:v>460</x:v>
      </x:c>
      <x:c r="J75" s="194" t="n">
        <x:f>'核心假设'!K29</x:f>
        <x:v>480</x:v>
      </x:c>
      <x:c r="K75" s="194" t="n">
        <x:f>'核心假设'!L29</x:f>
        <x:v>500</x:v>
      </x:c>
      <x:c r="L75" s="194" t="n">
        <x:f>'核心假设'!M29</x:f>
        <x:v>520</x:v>
      </x:c>
      <x:c r="M75" s="193" t="n">
        <x:f>MAX(ABS(C75-H75),ABS(D75-I75),ABS(E75-J75),ABS(F75-K75),ABS(G75-L75))</x:f>
        <x:v>0</x:v>
      </x:c>
      <x:c r="N75" s="32" t="str">
        <x:f>IF(M75&lt;=0.000001,"OK","CHECK")</x:f>
        <x:v>OK</x:v>
      </x:c>
    </x:row>
    <x:row r="76">
      <x:c r="A76" s="32" t="str">
        <x:v>基准</x:v>
      </x:c>
      <x:c r="B76" s="32" t="str">
        <x:v>存量业务毛利率</x:v>
      </x:c>
      <x:c r="C76" s="193" t="n">
        <x:v>0.1994</x:v>
      </x:c>
      <x:c r="D76" s="193" t="n">
        <x:v>0.2</x:v>
      </x:c>
      <x:c r="E76" s="193" t="n">
        <x:v>0.21</x:v>
      </x:c>
      <x:c r="F76" s="193" t="n">
        <x:v>0.22</x:v>
      </x:c>
      <x:c r="G76" s="193" t="n">
        <x:v>0.23</x:v>
      </x:c>
      <x:c r="H76" s="194" t="n">
        <x:f>'核心假设'!I30</x:f>
        <x:v>0.1994</x:v>
      </x:c>
      <x:c r="I76" s="194" t="n">
        <x:f>'核心假设'!J30</x:f>
        <x:v>0.2</x:v>
      </x:c>
      <x:c r="J76" s="194" t="n">
        <x:f>'核心假设'!K30</x:f>
        <x:v>0.21</x:v>
      </x:c>
      <x:c r="K76" s="194" t="n">
        <x:f>'核心假设'!L30</x:f>
        <x:v>0.22</x:v>
      </x:c>
      <x:c r="L76" s="194" t="n">
        <x:f>'核心假设'!M30</x:f>
        <x:v>0.23</x:v>
      </x:c>
      <x:c r="M76" s="193" t="n">
        <x:f>MAX(ABS(C76-H76),ABS(D76-I76),ABS(E76-J76),ABS(F76-K76),ABS(G76-L76))</x:f>
        <x:v>0</x:v>
      </x:c>
      <x:c r="N76" s="32" t="str">
        <x:f>IF(M76&lt;=0.000001,"OK","CHECK")</x:f>
        <x:v>OK</x:v>
      </x:c>
    </x:row>
    <x:row r="77">
      <x:c r="A77" s="32" t="str">
        <x:v>基准</x:v>
      </x:c>
      <x:c r="B77" s="32" t="str">
        <x:v>销售费用率</x:v>
      </x:c>
      <x:c r="C77" s="193" t="n">
        <x:v>0.03</x:v>
      </x:c>
      <x:c r="D77" s="193" t="n">
        <x:v>0.014</x:v>
      </x:c>
      <x:c r="E77" s="193" t="n">
        <x:v>0.012</x:v>
      </x:c>
      <x:c r="F77" s="193" t="n">
        <x:v>0.011</x:v>
      </x:c>
      <x:c r="G77" s="193" t="n">
        <x:v>0.01</x:v>
      </x:c>
      <x:c r="H77" s="194" t="n">
        <x:f>'核心假设'!I31</x:f>
        <x:v>0.03</x:v>
      </x:c>
      <x:c r="I77" s="194" t="n">
        <x:f>'核心假设'!J31</x:f>
        <x:v>0.014</x:v>
      </x:c>
      <x:c r="J77" s="194" t="n">
        <x:f>'核心假设'!K31</x:f>
        <x:v>0.012</x:v>
      </x:c>
      <x:c r="K77" s="194" t="n">
        <x:f>'核心假设'!L31</x:f>
        <x:v>0.011</x:v>
      </x:c>
      <x:c r="L77" s="194" t="n">
        <x:f>'核心假设'!M31</x:f>
        <x:v>0.01</x:v>
      </x:c>
      <x:c r="M77" s="193" t="n">
        <x:f>MAX(ABS(C77-H77),ABS(D77-I77),ABS(E77-J77),ABS(F77-K77),ABS(G77-L77))</x:f>
        <x:v>0</x:v>
      </x:c>
      <x:c r="N77" s="32" t="str">
        <x:f>IF(M77&lt;=0.000001,"OK","CHECK")</x:f>
        <x:v>OK</x:v>
      </x:c>
    </x:row>
    <x:row r="78">
      <x:c r="A78" s="32" t="str">
        <x:v>基准</x:v>
      </x:c>
      <x:c r="B78" s="32" t="str">
        <x:v>管理费用率</x:v>
      </x:c>
      <x:c r="C78" s="193" t="n">
        <x:v>0.06</x:v>
      </x:c>
      <x:c r="D78" s="193" t="n">
        <x:v>0.028</x:v>
      </x:c>
      <x:c r="E78" s="193" t="n">
        <x:v>0.025</x:v>
      </x:c>
      <x:c r="F78" s="193" t="n">
        <x:v>0.023</x:v>
      </x:c>
      <x:c r="G78" s="193" t="n">
        <x:v>0.021</x:v>
      </x:c>
      <x:c r="H78" s="194" t="n">
        <x:f>'核心假设'!I32</x:f>
        <x:v>0.06</x:v>
      </x:c>
      <x:c r="I78" s="194" t="n">
        <x:f>'核心假设'!J32</x:f>
        <x:v>0.028</x:v>
      </x:c>
      <x:c r="J78" s="194" t="n">
        <x:f>'核心假设'!K32</x:f>
        <x:v>0.025</x:v>
      </x:c>
      <x:c r="K78" s="194" t="n">
        <x:f>'核心假设'!L32</x:f>
        <x:v>0.023</x:v>
      </x:c>
      <x:c r="L78" s="194" t="n">
        <x:f>'核心假设'!M32</x:f>
        <x:v>0.021</x:v>
      </x:c>
      <x:c r="M78" s="193" t="n">
        <x:f>MAX(ABS(C78-H78),ABS(D78-I78),ABS(E78-J78),ABS(F78-K78),ABS(G78-L78))</x:f>
        <x:v>0</x:v>
      </x:c>
      <x:c r="N78" s="32" t="str">
        <x:f>IF(M78&lt;=0.000001,"OK","CHECK")</x:f>
        <x:v>OK</x:v>
      </x:c>
    </x:row>
    <x:row r="79">
      <x:c r="A79" s="32" t="str">
        <x:v>基准</x:v>
      </x:c>
      <x:c r="B79" s="32" t="str">
        <x:v>研发费用率</x:v>
      </x:c>
      <x:c r="C79" s="193" t="n">
        <x:v>0.05</x:v>
      </x:c>
      <x:c r="D79" s="193" t="n">
        <x:v>0.021</x:v>
      </x:c>
      <x:c r="E79" s="193" t="n">
        <x:v>0.019</x:v>
      </x:c>
      <x:c r="F79" s="193" t="n">
        <x:v>0.017</x:v>
      </x:c>
      <x:c r="G79" s="193" t="n">
        <x:v>0.016</x:v>
      </x:c>
      <x:c r="H79" s="194" t="n">
        <x:f>'核心假设'!I33</x:f>
        <x:v>0.05</x:v>
      </x:c>
      <x:c r="I79" s="194" t="n">
        <x:f>'核心假设'!J33</x:f>
        <x:v>0.021</x:v>
      </x:c>
      <x:c r="J79" s="194" t="n">
        <x:f>'核心假设'!K33</x:f>
        <x:v>0.019</x:v>
      </x:c>
      <x:c r="K79" s="194" t="n">
        <x:f>'核心假设'!L33</x:f>
        <x:v>0.017</x:v>
      </x:c>
      <x:c r="L79" s="194" t="n">
        <x:f>'核心假设'!M33</x:f>
        <x:v>0.016</x:v>
      </x:c>
      <x:c r="M79" s="193" t="n">
        <x:f>MAX(ABS(C79-H79),ABS(D79-I79),ABS(E79-J79),ABS(F79-K79),ABS(G79-L79))</x:f>
        <x:v>0</x:v>
      </x:c>
      <x:c r="N79" s="32" t="str">
        <x:f>IF(M79&lt;=0.000001,"OK","CHECK")</x:f>
        <x:v>OK</x:v>
      </x:c>
    </x:row>
    <x:row r="80">
      <x:c r="A80" s="32" t="str">
        <x:v>基准</x:v>
      </x:c>
      <x:c r="B80" s="32" t="str">
        <x:v>财务费用率</x:v>
      </x:c>
      <x:c r="C80" s="193" t="n">
        <x:v>0.015</x:v>
      </x:c>
      <x:c r="D80" s="193" t="n">
        <x:v>0.005</x:v>
      </x:c>
      <x:c r="E80" s="193" t="n">
        <x:v>0.005</x:v>
      </x:c>
      <x:c r="F80" s="193" t="n">
        <x:v>0.004</x:v>
      </x:c>
      <x:c r="G80" s="193" t="n">
        <x:v>0.004</x:v>
      </x:c>
      <x:c r="H80" s="194" t="n">
        <x:f>'核心假设'!I34</x:f>
        <x:v>0.015</x:v>
      </x:c>
      <x:c r="I80" s="194" t="n">
        <x:f>'核心假设'!J34</x:f>
        <x:v>0.005</x:v>
      </x:c>
      <x:c r="J80" s="194" t="n">
        <x:f>'核心假设'!K34</x:f>
        <x:v>0.005</x:v>
      </x:c>
      <x:c r="K80" s="194" t="n">
        <x:f>'核心假设'!L34</x:f>
        <x:v>0.004</x:v>
      </x:c>
      <x:c r="L80" s="194" t="n">
        <x:f>'核心假设'!M34</x:f>
        <x:v>0.004</x:v>
      </x:c>
      <x:c r="M80" s="193" t="n">
        <x:f>MAX(ABS(C80-H80),ABS(D80-I80),ABS(E80-J80),ABS(F80-K80),ABS(G80-L80))</x:f>
        <x:v>0</x:v>
      </x:c>
      <x:c r="N80" s="32" t="str">
        <x:f>IF(M80&lt;=0.000001,"OK","CHECK")</x:f>
        <x:v>OK</x:v>
      </x:c>
    </x:row>
    <x:row r="81">
      <x:c r="A81" s="32" t="str">
        <x:v>基准</x:v>
      </x:c>
      <x:c r="B81" s="32" t="str">
        <x:v>减值损失（百万元）</x:v>
      </x:c>
      <x:c r="C81" s="193" t="n">
        <x:v>5</x:v>
      </x:c>
      <x:c r="D81" s="193" t="n">
        <x:v>3</x:v>
      </x:c>
      <x:c r="E81" s="193" t="n">
        <x:v>3</x:v>
      </x:c>
      <x:c r="F81" s="193" t="n">
        <x:v>3</x:v>
      </x:c>
      <x:c r="G81" s="193" t="n">
        <x:v>3</x:v>
      </x:c>
      <x:c r="H81" s="194" t="n">
        <x:f>'核心假设'!I35</x:f>
        <x:v>5</x:v>
      </x:c>
      <x:c r="I81" s="194" t="n">
        <x:f>'核心假设'!J35</x:f>
        <x:v>3</x:v>
      </x:c>
      <x:c r="J81" s="194" t="n">
        <x:f>'核心假设'!K35</x:f>
        <x:v>3</x:v>
      </x:c>
      <x:c r="K81" s="194" t="n">
        <x:f>'核心假设'!L35</x:f>
        <x:v>3</x:v>
      </x:c>
      <x:c r="L81" s="194" t="n">
        <x:f>'核心假设'!M35</x:f>
        <x:v>3</x:v>
      </x:c>
      <x:c r="M81" s="193" t="n">
        <x:f>MAX(ABS(C81-H81),ABS(D81-I81),ABS(E81-J81),ABS(F81-K81),ABS(G81-L81))</x:f>
        <x:v>0</x:v>
      </x:c>
      <x:c r="N81" s="32" t="str">
        <x:f>IF(M81&lt;=0.000001,"OK","CHECK")</x:f>
        <x:v>OK</x:v>
      </x:c>
    </x:row>
    <x:row r="82">
      <x:c r="A82" s="32" t="str">
        <x:v>基准</x:v>
      </x:c>
      <x:c r="B82" s="32" t="str">
        <x:v>其他收益净额（百万元）</x:v>
      </x:c>
      <x:c r="C82" s="193" t="n">
        <x:v>5</x:v>
      </x:c>
      <x:c r="D82" s="193" t="n">
        <x:v>4</x:v>
      </x:c>
      <x:c r="E82" s="193" t="n">
        <x:v>3</x:v>
      </x:c>
      <x:c r="F82" s="193" t="n">
        <x:v>3</x:v>
      </x:c>
      <x:c r="G82" s="193" t="n">
        <x:v>3</x:v>
      </x:c>
      <x:c r="H82" s="194" t="n">
        <x:f>'核心假设'!I36</x:f>
        <x:v>5</x:v>
      </x:c>
      <x:c r="I82" s="194" t="n">
        <x:f>'核心假设'!J36</x:f>
        <x:v>4</x:v>
      </x:c>
      <x:c r="J82" s="194" t="n">
        <x:f>'核心假设'!K36</x:f>
        <x:v>3</x:v>
      </x:c>
      <x:c r="K82" s="194" t="n">
        <x:f>'核心假设'!L36</x:f>
        <x:v>3</x:v>
      </x:c>
      <x:c r="L82" s="194" t="n">
        <x:f>'核心假设'!M36</x:f>
        <x:v>3</x:v>
      </x:c>
      <x:c r="M82" s="193" t="n">
        <x:f>MAX(ABS(C82-H82),ABS(D82-I82),ABS(E82-J82),ABS(F82-K82),ABS(G82-L82))</x:f>
        <x:v>0</x:v>
      </x:c>
      <x:c r="N82" s="32" t="str">
        <x:f>IF(M82&lt;=0.000001,"OK","CHECK")</x:f>
        <x:v>OK</x:v>
      </x:c>
    </x:row>
    <x:row r="83">
      <x:c r="A83" s="32" t="str">
        <x:v>基准</x:v>
      </x:c>
      <x:c r="B83" s="32" t="str">
        <x:v>所得税率</x:v>
      </x:c>
      <x:c r="C83" s="193" t="n">
        <x:v>0.19</x:v>
      </x:c>
      <x:c r="D83" s="193" t="n">
        <x:v>0.2</x:v>
      </x:c>
      <x:c r="E83" s="193" t="n">
        <x:v>0.2</x:v>
      </x:c>
      <x:c r="F83" s="193" t="n">
        <x:v>0.2</x:v>
      </x:c>
      <x:c r="G83" s="193" t="n">
        <x:v>0.2</x:v>
      </x:c>
      <x:c r="H83" s="194" t="n">
        <x:f>'核心假设'!I37</x:f>
        <x:v>0.19</x:v>
      </x:c>
      <x:c r="I83" s="194" t="n">
        <x:f>'核心假设'!J37</x:f>
        <x:v>0.2</x:v>
      </x:c>
      <x:c r="J83" s="194" t="n">
        <x:f>'核心假设'!K37</x:f>
        <x:v>0.2</x:v>
      </x:c>
      <x:c r="K83" s="194" t="n">
        <x:f>'核心假设'!L37</x:f>
        <x:v>0.2</x:v>
      </x:c>
      <x:c r="L83" s="194" t="n">
        <x:f>'核心假设'!M37</x:f>
        <x:v>0.2</x:v>
      </x:c>
      <x:c r="M83" s="193" t="n">
        <x:f>MAX(ABS(C83-H83),ABS(D83-I83),ABS(E83-J83),ABS(F83-K83),ABS(G83-L83))</x:f>
        <x:v>0</x:v>
      </x:c>
      <x:c r="N83" s="32" t="str">
        <x:f>IF(M83&lt;=0.000001,"OK","CHECK")</x:f>
        <x:v>OK</x:v>
      </x:c>
    </x:row>
    <x:row r="84">
      <x:c r="A84" s="32" t="str">
        <x:v>基准</x:v>
      </x:c>
      <x:c r="B84" s="32" t="str">
        <x:v>总股本（百万股）</x:v>
      </x:c>
      <x:c r="C84" s="193" t="n">
        <x:v>397.028823</x:v>
      </x:c>
      <x:c r="D84" s="193" t="n">
        <x:v>397.028823</x:v>
      </x:c>
      <x:c r="E84" s="193" t="n">
        <x:v>397.028823</x:v>
      </x:c>
      <x:c r="F84" s="193" t="n">
        <x:v>397.028823</x:v>
      </x:c>
      <x:c r="G84" s="193" t="n">
        <x:v>397.028823</x:v>
      </x:c>
      <x:c r="H84" s="194" t="n">
        <x:f>'核心假设'!I38</x:f>
        <x:v>397.028823</x:v>
      </x:c>
      <x:c r="I84" s="194" t="n">
        <x:f>'核心假设'!J38</x:f>
        <x:v>397.028823</x:v>
      </x:c>
      <x:c r="J84" s="194" t="n">
        <x:f>'核心假设'!K38</x:f>
        <x:v>397.028823</x:v>
      </x:c>
      <x:c r="K84" s="194" t="n">
        <x:f>'核心假设'!L38</x:f>
        <x:v>397.028823</x:v>
      </x:c>
      <x:c r="L84" s="194" t="n">
        <x:f>'核心假设'!M38</x:f>
        <x:v>397.028823</x:v>
      </x:c>
      <x:c r="M84" s="193" t="n">
        <x:f>MAX(ABS(C84-H84),ABS(D84-I84),ABS(E84-J84),ABS(F84-K84),ABS(G84-L84))</x:f>
        <x:v>0</x:v>
      </x:c>
      <x:c r="N84" s="32" t="str">
        <x:f>IF(M84&lt;=0.000001,"OK","CHECK")</x:f>
        <x:v>OK</x:v>
      </x:c>
    </x:row>
    <x:row r="85">
      <x:c r="A85" s="32" t="str">
        <x:v>基准</x:v>
      </x:c>
      <x:c r="B85" s="32" t="str">
        <x:v>加工少数股东比例</x:v>
      </x:c>
      <x:c r="C85" s="193" t="n">
        <x:v>0.1</x:v>
      </x:c>
      <x:c r="D85" s="193" t="n">
        <x:v>0.1</x:v>
      </x:c>
      <x:c r="E85" s="193" t="n">
        <x:v>0.1</x:v>
      </x:c>
      <x:c r="F85" s="193" t="n">
        <x:v>0.1</x:v>
      </x:c>
      <x:c r="G85" s="193" t="n">
        <x:v>0.1</x:v>
      </x:c>
      <x:c r="H85" s="194" t="n">
        <x:f>'核心假设'!I39</x:f>
        <x:v>0.1</x:v>
      </x:c>
      <x:c r="I85" s="194" t="n">
        <x:f>'核心假设'!J39</x:f>
        <x:v>0.1</x:v>
      </x:c>
      <x:c r="J85" s="194" t="n">
        <x:f>'核心假设'!K39</x:f>
        <x:v>0.1</x:v>
      </x:c>
      <x:c r="K85" s="194" t="n">
        <x:f>'核心假设'!L39</x:f>
        <x:v>0.1</x:v>
      </x:c>
      <x:c r="L85" s="194" t="n">
        <x:f>'核心假设'!M39</x:f>
        <x:v>0.1</x:v>
      </x:c>
      <x:c r="M85" s="193" t="n">
        <x:f>MAX(ABS(C85-H85),ABS(D85-I85),ABS(E85-J85),ABS(F85-K85),ABS(G85-L85))</x:f>
        <x:v>0</x:v>
      </x:c>
      <x:c r="N85" s="32" t="str">
        <x:f>IF(M85&lt;=0.000001,"OK","CHECK")</x:f>
        <x:v>OK</x:v>
      </x:c>
    </x:row>
    <x:row r="86">
      <x:c r="A86" s="32" t="str">
        <x:v>基准</x:v>
      </x:c>
      <x:c r="B86" s="32" t="str">
        <x:v>设备少数股东比例</x:v>
      </x:c>
      <x:c r="C86" s="193" t="n">
        <x:v>0.49</x:v>
      </x:c>
      <x:c r="D86" s="193" t="n">
        <x:v>0.49</x:v>
      </x:c>
      <x:c r="E86" s="193" t="n">
        <x:v>0.49</x:v>
      </x:c>
      <x:c r="F86" s="193" t="n">
        <x:v>0.49</x:v>
      </x:c>
      <x:c r="G86" s="193" t="n">
        <x:v>0.49</x:v>
      </x:c>
      <x:c r="H86" s="194" t="n">
        <x:f>'核心假设'!I40</x:f>
        <x:v>0.49</x:v>
      </x:c>
      <x:c r="I86" s="194" t="n">
        <x:f>'核心假设'!J40</x:f>
        <x:v>0.49</x:v>
      </x:c>
      <x:c r="J86" s="194" t="n">
        <x:f>'核心假设'!K40</x:f>
        <x:v>0.49</x:v>
      </x:c>
      <x:c r="K86" s="194" t="n">
        <x:f>'核心假设'!L40</x:f>
        <x:v>0.49</x:v>
      </x:c>
      <x:c r="L86" s="194" t="n">
        <x:f>'核心假设'!M40</x:f>
        <x:v>0.49</x:v>
      </x:c>
      <x:c r="M86" s="193" t="n">
        <x:f>MAX(ABS(C86-H86),ABS(D86-I86),ABS(E86-J86),ABS(F86-K86),ABS(G86-L86))</x:f>
        <x:v>0</x:v>
      </x:c>
      <x:c r="N86" s="32" t="str">
        <x:f>IF(M86&lt;=0.000001,"OK","CHECK")</x:f>
        <x:v>OK</x:v>
      </x:c>
    </x:row>
    <x:row r="87">
      <x:c r="A87" s="32" t="str">
        <x:v>基准</x:v>
      </x:c>
      <x:c r="B87" s="32" t="str">
        <x:v>耗材少数股东比例</x:v>
      </x:c>
      <x:c r="C87" s="193" t="n">
        <x:v>0.3</x:v>
      </x:c>
      <x:c r="D87" s="193" t="n">
        <x:v>0.3</x:v>
      </x:c>
      <x:c r="E87" s="193" t="n">
        <x:v>0.3</x:v>
      </x:c>
      <x:c r="F87" s="193" t="n">
        <x:v>0.3</x:v>
      </x:c>
      <x:c r="G87" s="193" t="n">
        <x:v>0.3</x:v>
      </x:c>
      <x:c r="H87" s="194" t="n">
        <x:f>'核心假设'!I41</x:f>
        <x:v>0.3</x:v>
      </x:c>
      <x:c r="I87" s="194" t="n">
        <x:f>'核心假设'!J41</x:f>
        <x:v>0.3</x:v>
      </x:c>
      <x:c r="J87" s="194" t="n">
        <x:f>'核心假设'!K41</x:f>
        <x:v>0.3</x:v>
      </x:c>
      <x:c r="K87" s="194" t="n">
        <x:f>'核心假设'!L41</x:f>
        <x:v>0.3</x:v>
      </x:c>
      <x:c r="L87" s="194" t="n">
        <x:f>'核心假设'!M41</x:f>
        <x:v>0.3</x:v>
      </x:c>
      <x:c r="M87" s="193" t="n">
        <x:f>MAX(ABS(C87-H87),ABS(D87-I87),ABS(E87-J87),ABS(F87-K87),ABS(G87-L87))</x:f>
        <x:v>0</x:v>
      </x:c>
      <x:c r="N87" s="32" t="str">
        <x:f>IF(M87&lt;=0.000001,"OK","CHECK")</x:f>
        <x:v>OK</x:v>
      </x:c>
    </x:row>
    <x:row r="88">
      <x:c r="A88" s="32" t="str">
        <x:v>乐观</x:v>
      </x:c>
      <x:c r="B88" s="32" t="str">
        <x:v>可覆盖终端池（百万部）</x:v>
      </x:c>
      <x:c r="C88" s="193" t="n">
        <x:v>235</x:v>
      </x:c>
      <x:c r="D88" s="193" t="n">
        <x:v>240</x:v>
      </x:c>
      <x:c r="E88" s="193" t="n">
        <x:v>270</x:v>
      </x:c>
      <x:c r="F88" s="193" t="n">
        <x:v>310</x:v>
      </x:c>
      <x:c r="G88" s="193" t="n">
        <x:v>350</x:v>
      </x:c>
      <x:c r="H88" s="194" t="n">
        <x:f>'核心假设'!P6</x:f>
        <x:v>235</x:v>
      </x:c>
      <x:c r="I88" s="194" t="n">
        <x:f>'核心假设'!Q6</x:f>
        <x:v>240</x:v>
      </x:c>
      <x:c r="J88" s="194" t="n">
        <x:f>'核心假设'!R6</x:f>
        <x:v>270</x:v>
      </x:c>
      <x:c r="K88" s="194" t="n">
        <x:f>'核心假设'!S6</x:f>
        <x:v>310</x:v>
      </x:c>
      <x:c r="L88" s="194" t="n">
        <x:f>'核心假设'!T6</x:f>
        <x:v>350</x:v>
      </x:c>
      <x:c r="M88" s="193" t="n">
        <x:f>MAX(ABS(C88-H88),ABS(D88-I88),ABS(E88-J88),ABS(F88-K88),ABS(G88-L88))</x:f>
        <x:v>0</x:v>
      </x:c>
      <x:c r="N88" s="32" t="str">
        <x:f>IF(M88&lt;=0.000001,"OK","CHECK")</x:f>
        <x:v>OK</x:v>
      </x:c>
    </x:row>
    <x:row r="89">
      <x:c r="A89" s="32" t="str">
        <x:v>乐观</x:v>
      </x:c>
      <x:c r="B89" s="32" t="str">
        <x:v>新工艺采用率</x:v>
      </x:c>
      <x:c r="C89" s="193" t="n">
        <x:v>0.12</x:v>
      </x:c>
      <x:c r="D89" s="193" t="n">
        <x:v>0.3</x:v>
      </x:c>
      <x:c r="E89" s="193" t="n">
        <x:v>0.38</x:v>
      </x:c>
      <x:c r="F89" s="193" t="n">
        <x:v>0.45</x:v>
      </x:c>
      <x:c r="G89" s="193" t="n">
        <x:v>0.52</x:v>
      </x:c>
      <x:c r="H89" s="194" t="n">
        <x:f>'核心假设'!P7</x:f>
        <x:v>0.12</x:v>
      </x:c>
      <x:c r="I89" s="194" t="n">
        <x:f>'核心假设'!Q7</x:f>
        <x:v>0.3</x:v>
      </x:c>
      <x:c r="J89" s="194" t="n">
        <x:f>'核心假设'!R7</x:f>
        <x:v>0.38</x:v>
      </x:c>
      <x:c r="K89" s="194" t="n">
        <x:f>'核心假设'!S7</x:f>
        <x:v>0.45</x:v>
      </x:c>
      <x:c r="L89" s="194" t="n">
        <x:f>'核心假设'!T7</x:f>
        <x:v>0.52</x:v>
      </x:c>
      <x:c r="M89" s="193" t="n">
        <x:f>MAX(ABS(C89-H89),ABS(D89-I89),ABS(E89-J89),ABS(F89-K89),ABS(G89-L89))</x:f>
        <x:v>0</x:v>
      </x:c>
      <x:c r="N89" s="32" t="str">
        <x:f>IF(M89&lt;=0.000001,"OK","CHECK")</x:f>
        <x:v>OK</x:v>
      </x:c>
    </x:row>
    <x:row r="90">
      <x:c r="A90" s="32" t="str">
        <x:v>乐观</x:v>
      </x:c>
      <x:c r="B90" s="32" t="str">
        <x:v>前端片数放大系数</x:v>
      </x:c>
      <x:c r="C90" s="193" t="n">
        <x:v>1.55</x:v>
      </x:c>
      <x:c r="D90" s="193" t="n">
        <x:v>1.5</x:v>
      </x:c>
      <x:c r="E90" s="193" t="n">
        <x:v>1.45</x:v>
      </x:c>
      <x:c r="F90" s="193" t="n">
        <x:v>1.4</x:v>
      </x:c>
      <x:c r="G90" s="193" t="n">
        <x:v>1.35</x:v>
      </x:c>
      <x:c r="H90" s="194" t="n">
        <x:f>'核心假设'!P8</x:f>
        <x:v>1.55</x:v>
      </x:c>
      <x:c r="I90" s="194" t="n">
        <x:f>'核心假设'!Q8</x:f>
        <x:v>1.5</x:v>
      </x:c>
      <x:c r="J90" s="194" t="n">
        <x:f>'核心假设'!R8</x:f>
        <x:v>1.45</x:v>
      </x:c>
      <x:c r="K90" s="194" t="n">
        <x:f>'核心假设'!S8</x:f>
        <x:v>1.4</x:v>
      </x:c>
      <x:c r="L90" s="194" t="n">
        <x:f>'核心假设'!T8</x:f>
        <x:v>1.35</x:v>
      </x:c>
      <x:c r="M90" s="193" t="n">
        <x:f>MAX(ABS(C90-H90),ABS(D90-I90),ABS(E90-J90),ABS(F90-K90),ABS(G90-L90))</x:f>
        <x:v>0</x:v>
      </x:c>
      <x:c r="N90" s="32" t="str">
        <x:f>IF(M90&lt;=0.000001,"OK","CHECK")</x:f>
        <x:v>OK</x:v>
      </x:c>
    </x:row>
    <x:row r="91">
      <x:c r="A91" s="32" t="str">
        <x:v>乐观</x:v>
      </x:c>
      <x:c r="B91" s="32" t="str">
        <x:v>岱勒加工份额</x:v>
      </x:c>
      <x:c r="C91" s="193" t="n">
        <x:v>0.95</x:v>
      </x:c>
      <x:c r="D91" s="193" t="n">
        <x:v>0.9</x:v>
      </x:c>
      <x:c r="E91" s="193" t="n">
        <x:v>0.85</x:v>
      </x:c>
      <x:c r="F91" s="193" t="n">
        <x:v>0.8</x:v>
      </x:c>
      <x:c r="G91" s="193" t="n">
        <x:v>0.75</x:v>
      </x:c>
      <x:c r="H91" s="194" t="n">
        <x:f>'核心假设'!P9</x:f>
        <x:v>0.95</x:v>
      </x:c>
      <x:c r="I91" s="194" t="n">
        <x:f>'核心假设'!Q9</x:f>
        <x:v>0.9</x:v>
      </x:c>
      <x:c r="J91" s="194" t="n">
        <x:f>'核心假设'!R9</x:f>
        <x:v>0.85</x:v>
      </x:c>
      <x:c r="K91" s="194" t="n">
        <x:f>'核心假设'!S9</x:f>
        <x:v>0.8</x:v>
      </x:c>
      <x:c r="L91" s="194" t="n">
        <x:f>'核心假设'!T9</x:f>
        <x:v>0.75</x:v>
      </x:c>
      <x:c r="M91" s="193" t="n">
        <x:f>MAX(ABS(C91-H91),ABS(D91-I91),ABS(E91-J91),ABS(F91-K91),ABS(G91-L91))</x:f>
        <x:v>0</x:v>
      </x:c>
      <x:c r="N91" s="32" t="str">
        <x:f>IF(M91&lt;=0.000001,"OK","CHECK")</x:f>
        <x:v>OK</x:v>
      </x:c>
    </x:row>
    <x:row r="92">
      <x:c r="A92" s="32" t="str">
        <x:v>乐观</x:v>
      </x:c>
      <x:c r="B92" s="32" t="str">
        <x:v>单片加工费（元）</x:v>
      </x:c>
      <x:c r="C92" s="193" t="n">
        <x:v>10</x:v>
      </x:c>
      <x:c r="D92" s="193" t="n">
        <x:v>10.5</x:v>
      </x:c>
      <x:c r="E92" s="193" t="n">
        <x:v>11</x:v>
      </x:c>
      <x:c r="F92" s="193" t="n">
        <x:v>11.5</x:v>
      </x:c>
      <x:c r="G92" s="193" t="n">
        <x:v>12</x:v>
      </x:c>
      <x:c r="H92" s="194" t="n">
        <x:f>'核心假设'!P10</x:f>
        <x:v>10</x:v>
      </x:c>
      <x:c r="I92" s="194" t="n">
        <x:f>'核心假设'!Q10</x:f>
        <x:v>10.5</x:v>
      </x:c>
      <x:c r="J92" s="194" t="n">
        <x:f>'核心假设'!R10</x:f>
        <x:v>11</x:v>
      </x:c>
      <x:c r="K92" s="194" t="n">
        <x:f>'核心假设'!S10</x:f>
        <x:v>11.5</x:v>
      </x:c>
      <x:c r="L92" s="194" t="n">
        <x:f>'核心假设'!T10</x:f>
        <x:v>12</x:v>
      </x:c>
      <x:c r="M92" s="193" t="n">
        <x:f>MAX(ABS(C92-H92),ABS(D92-I92),ABS(E92-J92),ABS(F92-K92),ABS(G92-L92))</x:f>
        <x:v>0</x:v>
      </x:c>
      <x:c r="N92" s="32" t="str">
        <x:f>IF(M92&lt;=0.000001,"OK","CHECK")</x:f>
        <x:v>OK</x:v>
      </x:c>
    </x:row>
    <x:row r="93">
      <x:c r="A93" s="32" t="str">
        <x:v>乐观</x:v>
      </x:c>
      <x:c r="B93" s="32" t="str">
        <x:v>外部产线占比（仅外售线）</x:v>
      </x:c>
      <x:c r="C93" s="193" t="n">
        <x:v>0.65</x:v>
      </x:c>
      <x:c r="D93" s="193" t="n">
        <x:v>0.8</x:v>
      </x:c>
      <x:c r="E93" s="193" t="n">
        <x:v>0.82</x:v>
      </x:c>
      <x:c r="F93" s="193" t="n">
        <x:v>0.84</x:v>
      </x:c>
      <x:c r="G93" s="193" t="n">
        <x:v>0.86</x:v>
      </x:c>
      <x:c r="H93" s="194" t="n">
        <x:f>'核心假设'!P11</x:f>
        <x:v>0.65</x:v>
      </x:c>
      <x:c r="I93" s="194" t="n">
        <x:f>'核心假设'!Q11</x:f>
        <x:v>0.8</x:v>
      </x:c>
      <x:c r="J93" s="194" t="n">
        <x:f>'核心假设'!R11</x:f>
        <x:v>0.82</x:v>
      </x:c>
      <x:c r="K93" s="194" t="n">
        <x:f>'核心假设'!S11</x:f>
        <x:v>0.84</x:v>
      </x:c>
      <x:c r="L93" s="194" t="n">
        <x:f>'核心假设'!T11</x:f>
        <x:v>0.86</x:v>
      </x:c>
      <x:c r="M93" s="193" t="n">
        <x:f>MAX(ABS(C93-H93),ABS(D93-I93),ABS(E93-J93),ABS(F93-K93),ABS(G93-L93))</x:f>
        <x:v>0</x:v>
      </x:c>
      <x:c r="N93" s="32" t="str">
        <x:f>IF(M93&lt;=0.000001,"OK","CHECK")</x:f>
        <x:v>OK</x:v>
      </x:c>
    </x:row>
    <x:row r="94">
      <x:c r="A94" s="32" t="str">
        <x:v>乐观</x:v>
      </x:c>
      <x:c r="B94" s="32" t="str">
        <x:v>单片外售金刚线价值（元）</x:v>
      </x:c>
      <x:c r="C94" s="193" t="n">
        <x:v>0.4</x:v>
      </x:c>
      <x:c r="D94" s="193" t="n">
        <x:v>1.1</x:v>
      </x:c>
      <x:c r="E94" s="193" t="n">
        <x:v>0.75</x:v>
      </x:c>
      <x:c r="F94" s="193" t="n">
        <x:v>0.65</x:v>
      </x:c>
      <x:c r="G94" s="193" t="n">
        <x:v>0.7</x:v>
      </x:c>
      <x:c r="H94" s="194" t="n">
        <x:f>'核心假设'!P12</x:f>
        <x:v>0.4</x:v>
      </x:c>
      <x:c r="I94" s="194" t="n">
        <x:f>'核心假设'!Q12</x:f>
        <x:v>1.1</x:v>
      </x:c>
      <x:c r="J94" s="194" t="n">
        <x:f>'核心假设'!R12</x:f>
        <x:v>0.75</x:v>
      </x:c>
      <x:c r="K94" s="194" t="n">
        <x:f>'核心假设'!S12</x:f>
        <x:v>0.65</x:v>
      </x:c>
      <x:c r="L94" s="194" t="n">
        <x:f>'核心假设'!T12</x:f>
        <x:v>0.7</x:v>
      </x:c>
      <x:c r="M94" s="193" t="n">
        <x:f>MAX(ABS(C94-H94),ABS(D94-I94),ABS(E94-J94),ABS(F94-K94),ABS(G94-L94))</x:f>
        <x:v>0</x:v>
      </x:c>
      <x:c r="N94" s="32" t="str">
        <x:f>IF(M94&lt;=0.000001,"OK","CHECK")</x:f>
        <x:v>OK</x:v>
      </x:c>
    </x:row>
    <x:row r="95">
      <x:c r="A95" s="32" t="str">
        <x:v>乐观</x:v>
      </x:c>
      <x:c r="B95" s="32" t="str">
        <x:v>加工毛利率</x:v>
      </x:c>
      <x:c r="C95" s="193" t="n">
        <x:v>0.4</x:v>
      </x:c>
      <x:c r="D95" s="193" t="n">
        <x:v>0.41</x:v>
      </x:c>
      <x:c r="E95" s="193" t="n">
        <x:v>0.42</x:v>
      </x:c>
      <x:c r="F95" s="193" t="n">
        <x:v>0.43</x:v>
      </x:c>
      <x:c r="G95" s="193" t="n">
        <x:v>0.44</x:v>
      </x:c>
      <x:c r="H95" s="194" t="n">
        <x:f>'核心假设'!P13</x:f>
        <x:v>0.4</x:v>
      </x:c>
      <x:c r="I95" s="194" t="n">
        <x:f>'核心假设'!Q13</x:f>
        <x:v>0.41</x:v>
      </x:c>
      <x:c r="J95" s="194" t="n">
        <x:f>'核心假设'!R13</x:f>
        <x:v>0.42</x:v>
      </x:c>
      <x:c r="K95" s="194" t="n">
        <x:f>'核心假设'!S13</x:f>
        <x:v>0.43</x:v>
      </x:c>
      <x:c r="L95" s="194" t="n">
        <x:f>'核心假设'!T13</x:f>
        <x:v>0.44</x:v>
      </x:c>
      <x:c r="M95" s="193" t="n">
        <x:f>MAX(ABS(C95-H95),ABS(D95-I95),ABS(E95-J95),ABS(F95-K95),ABS(G95-L95))</x:f>
        <x:v>0</x:v>
      </x:c>
      <x:c r="N95" s="32" t="str">
        <x:f>IF(M95&lt;=0.000001,"OK","CHECK")</x:f>
        <x:v>OK</x:v>
      </x:c>
    </x:row>
    <x:row r="96">
      <x:c r="A96" s="32" t="str">
        <x:v>乐观</x:v>
      </x:c>
      <x:c r="B96" s="32" t="str">
        <x:v>外售切割线毛利率</x:v>
      </x:c>
      <x:c r="C96" s="193" t="n">
        <x:v>0.24</x:v>
      </x:c>
      <x:c r="D96" s="193" t="n">
        <x:v>0.26</x:v>
      </x:c>
      <x:c r="E96" s="193" t="n">
        <x:v>0.28</x:v>
      </x:c>
      <x:c r="F96" s="193" t="n">
        <x:v>0.3</x:v>
      </x:c>
      <x:c r="G96" s="193" t="n">
        <x:v>0.32</x:v>
      </x:c>
      <x:c r="H96" s="194" t="n">
        <x:f>'核心假设'!P14</x:f>
        <x:v>0.24</x:v>
      </x:c>
      <x:c r="I96" s="194" t="n">
        <x:f>'核心假设'!Q14</x:f>
        <x:v>0.26</x:v>
      </x:c>
      <x:c r="J96" s="194" t="n">
        <x:f>'核心假设'!R14</x:f>
        <x:v>0.28</x:v>
      </x:c>
      <x:c r="K96" s="194" t="n">
        <x:f>'核心假设'!S14</x:f>
        <x:v>0.3</x:v>
      </x:c>
      <x:c r="L96" s="194" t="n">
        <x:f>'核心假设'!T14</x:f>
        <x:v>0.32</x:v>
      </x:c>
      <x:c r="M96" s="193" t="n">
        <x:f>MAX(ABS(C96-H96),ABS(D96-I96),ABS(E96-J96),ABS(F96-K96),ABS(G96-L96))</x:f>
        <x:v>0</x:v>
      </x:c>
      <x:c r="N96" s="32" t="str">
        <x:f>IF(M96&lt;=0.000001,"OK","CHECK")</x:f>
        <x:v>OK</x:v>
      </x:c>
    </x:row>
    <x:row r="97">
      <x:c r="A97" s="32" t="str">
        <x:v>乐观</x:v>
      </x:c>
      <x:c r="B97" s="32" t="str">
        <x:v>首批设备口径（百万元）</x:v>
      </x:c>
      <x:c r="C97" s="193" t="n">
        <x:v>2500</x:v>
      </x:c>
      <x:c r="D97" s="193" t="n">
        <x:v>2500</x:v>
      </x:c>
      <x:c r="E97" s="193" t="n">
        <x:v>3000</x:v>
      </x:c>
      <x:c r="F97" s="193" t="n">
        <x:v>2500</x:v>
      </x:c>
      <x:c r="G97" s="193" t="n">
        <x:v>2500</x:v>
      </x:c>
      <x:c r="H97" s="194" t="n">
        <x:f>'核心假设'!P17</x:f>
        <x:v>2500</x:v>
      </x:c>
      <x:c r="I97" s="194" t="n">
        <x:f>'核心假设'!Q17</x:f>
        <x:v>2500</x:v>
      </x:c>
      <x:c r="J97" s="194" t="n">
        <x:f>'核心假设'!R17</x:f>
        <x:v>3000</x:v>
      </x:c>
      <x:c r="K97" s="194" t="n">
        <x:f>'核心假设'!S17</x:f>
        <x:v>2500</x:v>
      </x:c>
      <x:c r="L97" s="194" t="n">
        <x:f>'核心假设'!T17</x:f>
        <x:v>2500</x:v>
      </x:c>
      <x:c r="M97" s="193" t="n">
        <x:f>MAX(ABS(C97-H97),ABS(D97-I97),ABS(E97-J97),ABS(F97-K97),ABS(G97-L97))</x:f>
        <x:v>0</x:v>
      </x:c>
      <x:c r="N97" s="32" t="str">
        <x:f>IF(M97&lt;=0.000001,"OK","CHECK")</x:f>
        <x:v>OK</x:v>
      </x:c>
    </x:row>
    <x:row r="98">
      <x:c r="A98" s="32" t="str">
        <x:v>乐观</x:v>
      </x:c>
      <x:c r="B98" s="32" t="str">
        <x:v>首批设备兑现比例</x:v>
      </x:c>
      <x:c r="C98" s="193" t="n">
        <x:v>0.5</x:v>
      </x:c>
      <x:c r="D98" s="193" t="n">
        <x:v>0.6</x:v>
      </x:c>
      <x:c r="E98" s="193" t="n">
        <x:v>0.6</x:v>
      </x:c>
      <x:c r="F98" s="193" t="n">
        <x:v>0.5</x:v>
      </x:c>
      <x:c r="G98" s="193" t="n">
        <x:v>0.5</x:v>
      </x:c>
      <x:c r="H98" s="194" t="n">
        <x:f>'核心假设'!P18</x:f>
        <x:v>0.5</x:v>
      </x:c>
      <x:c r="I98" s="194" t="n">
        <x:f>'核心假设'!Q18</x:f>
        <x:v>0.6</x:v>
      </x:c>
      <x:c r="J98" s="194" t="n">
        <x:f>'核心假设'!R18</x:f>
        <x:v>0.6</x:v>
      </x:c>
      <x:c r="K98" s="194" t="n">
        <x:f>'核心假设'!S18</x:f>
        <x:v>0.5</x:v>
      </x:c>
      <x:c r="L98" s="194" t="n">
        <x:f>'核心假设'!T18</x:f>
        <x:v>0.5</x:v>
      </x:c>
      <x:c r="M98" s="193" t="n">
        <x:f>MAX(ABS(C98-H98),ABS(D98-I98),ABS(E98-J98),ABS(F98-K98),ABS(G98-L98))</x:f>
        <x:v>0</x:v>
      </x:c>
      <x:c r="N98" s="32" t="str">
        <x:f>IF(M98&lt;=0.000001,"OK","CHECK")</x:f>
        <x:v>OK</x:v>
      </x:c>
    </x:row>
    <x:row r="99">
      <x:c r="A99" s="32" t="str">
        <x:v>乐观</x:v>
      </x:c>
      <x:c r="B99" s="32" t="str">
        <x:v>首批设备交付节奏</x:v>
      </x:c>
      <x:c r="C99" s="193" t="n">
        <x:v>0.15</x:v>
      </x:c>
      <x:c r="D99" s="193" t="n">
        <x:v>0.65</x:v>
      </x:c>
      <x:c r="E99" s="193" t="n">
        <x:v>0.8</x:v>
      </x:c>
      <x:c r="F99" s="193" t="n">
        <x:v>0</x:v>
      </x:c>
      <x:c r="G99" s="193" t="n">
        <x:v>0</x:v>
      </x:c>
      <x:c r="H99" s="194" t="n">
        <x:f>'核心假设'!P19</x:f>
        <x:v>0.15</x:v>
      </x:c>
      <x:c r="I99" s="194" t="n">
        <x:f>'核心假设'!Q19</x:f>
        <x:v>0.65</x:v>
      </x:c>
      <x:c r="J99" s="194" t="n">
        <x:f>'核心假设'!R19</x:f>
        <x:v>0.8</x:v>
      </x:c>
      <x:c r="K99" s="194" t="n">
        <x:f>'核心假设'!S19</x:f>
        <x:v>0</x:v>
      </x:c>
      <x:c r="L99" s="194" t="n">
        <x:f>'核心假设'!T19</x:f>
        <x:v>0</x:v>
      </x:c>
      <x:c r="M99" s="193" t="n">
        <x:f>MAX(ABS(C99-H99),ABS(D99-I99),ABS(E99-J99),ABS(F99-K99),ABS(G99-L99))</x:f>
        <x:v>0</x:v>
      </x:c>
      <x:c r="N99" s="32" t="str">
        <x:f>IF(M99&lt;=0.000001,"OK","CHECK")</x:f>
        <x:v>OK</x:v>
      </x:c>
    </x:row>
    <x:row r="100">
      <x:c r="A100" s="32" t="str">
        <x:v>乐观</x:v>
      </x:c>
      <x:c r="B100" s="32" t="str">
        <x:v>维护/海外/后续设备收入（百万元）</x:v>
      </x:c>
      <x:c r="C100" s="193" t="n">
        <x:v>150</x:v>
      </x:c>
      <x:c r="D100" s="193" t="n">
        <x:v>500</x:v>
      </x:c>
      <x:c r="E100" s="193" t="n">
        <x:v>500</x:v>
      </x:c>
      <x:c r="F100" s="193" t="n">
        <x:v>1900</x:v>
      </x:c>
      <x:c r="G100" s="193" t="n">
        <x:v>2200</x:v>
      </x:c>
      <x:c r="H100" s="194" t="n">
        <x:f>'核心假设'!P20</x:f>
        <x:v>150</x:v>
      </x:c>
      <x:c r="I100" s="194" t="n">
        <x:f>'核心假设'!Q20</x:f>
        <x:v>500</x:v>
      </x:c>
      <x:c r="J100" s="194" t="n">
        <x:f>'核心假设'!R20</x:f>
        <x:v>500</x:v>
      </x:c>
      <x:c r="K100" s="194" t="n">
        <x:f>'核心假设'!S20</x:f>
        <x:v>1900</x:v>
      </x:c>
      <x:c r="L100" s="194" t="n">
        <x:f>'核心假设'!T20</x:f>
        <x:v>2200</x:v>
      </x:c>
      <x:c r="M100" s="193" t="n">
        <x:f>MAX(ABS(C100-H100),ABS(D100-I100),ABS(E100-J100),ABS(F100-K100),ABS(G100-L100))</x:f>
        <x:v>0</x:v>
      </x:c>
      <x:c r="N100" s="32" t="str">
        <x:f>IF(M100&lt;=0.000001,"OK","CHECK")</x:f>
        <x:v>OK</x:v>
      </x:c>
    </x:row>
    <x:row r="101">
      <x:c r="A101" s="32" t="str">
        <x:v>乐观</x:v>
      </x:c>
      <x:c r="B101" s="32" t="str">
        <x:v>设备毛利率</x:v>
      </x:c>
      <x:c r="C101" s="193" t="n">
        <x:v>0.3</x:v>
      </x:c>
      <x:c r="D101" s="193" t="n">
        <x:v>0.3</x:v>
      </x:c>
      <x:c r="E101" s="193" t="n">
        <x:v>0.3</x:v>
      </x:c>
      <x:c r="F101" s="193" t="n">
        <x:v>0.3</x:v>
      </x:c>
      <x:c r="G101" s="193" t="n">
        <x:v>0.3</x:v>
      </x:c>
      <x:c r="H101" s="194" t="n">
        <x:f>'核心假设'!P21</x:f>
        <x:v>0.3</x:v>
      </x:c>
      <x:c r="I101" s="194" t="n">
        <x:f>'核心假设'!Q21</x:f>
        <x:v>0.3</x:v>
      </x:c>
      <x:c r="J101" s="194" t="n">
        <x:f>'核心假设'!R21</x:f>
        <x:v>0.3</x:v>
      </x:c>
      <x:c r="K101" s="194" t="n">
        <x:f>'核心假设'!S21</x:f>
        <x:v>0.3</x:v>
      </x:c>
      <x:c r="L101" s="194" t="n">
        <x:f>'核心假设'!T21</x:f>
        <x:v>0.3</x:v>
      </x:c>
      <x:c r="M101" s="193" t="n">
        <x:f>MAX(ABS(C101-H101),ABS(D101-I101),ABS(E101-J101),ABS(F101-K101),ABS(G101-L101))</x:f>
        <x:v>0</x:v>
      </x:c>
      <x:c r="N101" s="32" t="str">
        <x:f>IF(M101&lt;=0.000001,"OK","CHECK")</x:f>
        <x:v>OK</x:v>
      </x:c>
    </x:row>
    <x:row r="102">
      <x:c r="A102" s="32" t="str">
        <x:v>乐观</x:v>
      </x:c>
      <x:c r="B102" s="32" t="str">
        <x:v>设备内部销售占比</x:v>
      </x:c>
      <x:c r="C102" s="193" t="n">
        <x:v>0</x:v>
      </x:c>
      <x:c r="D102" s="193" t="n">
        <x:v>0</x:v>
      </x:c>
      <x:c r="E102" s="193" t="n">
        <x:v>0</x:v>
      </x:c>
      <x:c r="F102" s="193" t="n">
        <x:v>0</x:v>
      </x:c>
      <x:c r="G102" s="193" t="n">
        <x:v>0</x:v>
      </x:c>
      <x:c r="H102" s="194" t="n">
        <x:f>'核心假设'!P22</x:f>
        <x:v>0</x:v>
      </x:c>
      <x:c r="I102" s="194" t="n">
        <x:f>'核心假设'!Q22</x:f>
        <x:v>0</x:v>
      </x:c>
      <x:c r="J102" s="194" t="n">
        <x:f>'核心假设'!R22</x:f>
        <x:v>0</x:v>
      </x:c>
      <x:c r="K102" s="194" t="n">
        <x:f>'核心假设'!S22</x:f>
        <x:v>0</x:v>
      </x:c>
      <x:c r="L102" s="194" t="n">
        <x:f>'核心假设'!T22</x:f>
        <x:v>0</x:v>
      </x:c>
      <x:c r="M102" s="193" t="n">
        <x:f>MAX(ABS(C102-H102),ABS(D102-I102),ABS(E102-J102),ABS(F102-K102),ABS(G102-L102))</x:f>
        <x:v>0</x:v>
      </x:c>
      <x:c r="N102" s="32" t="str">
        <x:f>IF(M102&lt;=0.000001,"OK","CHECK")</x:f>
        <x:v>OK</x:v>
      </x:c>
    </x:row>
    <x:row r="103">
      <x:c r="A103" s="32" t="str">
        <x:v>乐观</x:v>
      </x:c>
      <x:c r="B103" s="32" t="str">
        <x:v>已验证可争取耗材池（百万元）</x:v>
      </x:c>
      <x:c r="C103" s="193" t="n">
        <x:v>800</x:v>
      </x:c>
      <x:c r="D103" s="193" t="n">
        <x:v>3000</x:v>
      </x:c>
      <x:c r="E103" s="193" t="n">
        <x:v>3500</x:v>
      </x:c>
      <x:c r="F103" s="193" t="n">
        <x:v>4250</x:v>
      </x:c>
      <x:c r="G103" s="193" t="n">
        <x:v>5200</x:v>
      </x:c>
      <x:c r="H103" s="194" t="n">
        <x:f>'核心假设'!P24</x:f>
        <x:v>800</x:v>
      </x:c>
      <x:c r="I103" s="194" t="n">
        <x:f>'核心假设'!Q24</x:f>
        <x:v>3000</x:v>
      </x:c>
      <x:c r="J103" s="194" t="n">
        <x:f>'核心假设'!R24</x:f>
        <x:v>3500</x:v>
      </x:c>
      <x:c r="K103" s="194" t="n">
        <x:f>'核心假设'!S24</x:f>
        <x:v>4250</x:v>
      </x:c>
      <x:c r="L103" s="194" t="n">
        <x:f>'核心假设'!T24</x:f>
        <x:v>5200</x:v>
      </x:c>
      <x:c r="M103" s="193" t="n">
        <x:f>MAX(ABS(C103-H103),ABS(D103-I103),ABS(E103-J103),ABS(F103-K103),ABS(G103-L103))</x:f>
        <x:v>0</x:v>
      </x:c>
      <x:c r="N103" s="32" t="str">
        <x:f>IF(M103&lt;=0.000001,"OK","CHECK")</x:f>
        <x:v>OK</x:v>
      </x:c>
    </x:row>
    <x:row r="104">
      <x:c r="A104" s="32" t="str">
        <x:v>乐观</x:v>
      </x:c>
      <x:c r="B104" s="32" t="str">
        <x:v>外售耗材份额</x:v>
      </x:c>
      <x:c r="C104" s="193" t="n">
        <x:v>0.08</x:v>
      </x:c>
      <x:c r="D104" s="193" t="n">
        <x:v>0.25</x:v>
      </x:c>
      <x:c r="E104" s="193" t="n">
        <x:v>0.35</x:v>
      </x:c>
      <x:c r="F104" s="193" t="n">
        <x:v>0.45</x:v>
      </x:c>
      <x:c r="G104" s="193" t="n">
        <x:v>0.55</x:v>
      </x:c>
      <x:c r="H104" s="194" t="n">
        <x:f>'核心假设'!P25</x:f>
        <x:v>0.08</x:v>
      </x:c>
      <x:c r="I104" s="194" t="n">
        <x:f>'核心假设'!Q25</x:f>
        <x:v>0.25</x:v>
      </x:c>
      <x:c r="J104" s="194" t="n">
        <x:f>'核心假设'!R25</x:f>
        <x:v>0.35</x:v>
      </x:c>
      <x:c r="K104" s="194" t="n">
        <x:f>'核心假设'!S25</x:f>
        <x:v>0.45</x:v>
      </x:c>
      <x:c r="L104" s="194" t="n">
        <x:f>'核心假设'!T25</x:f>
        <x:v>0.55</x:v>
      </x:c>
      <x:c r="M104" s="193" t="n">
        <x:f>MAX(ABS(C104-H104),ABS(D104-I104),ABS(E104-J104),ABS(F104-K104),ABS(G104-L104))</x:f>
        <x:v>0</x:v>
      </x:c>
      <x:c r="N104" s="32" t="str">
        <x:f>IF(M104&lt;=0.000001,"OK","CHECK")</x:f>
        <x:v>OK</x:v>
      </x:c>
    </x:row>
    <x:row r="105">
      <x:c r="A105" s="32" t="str">
        <x:v>乐观</x:v>
      </x:c>
      <x:c r="B105" s="32" t="str">
        <x:v>耗材毛利率</x:v>
      </x:c>
      <x:c r="C105" s="193" t="n">
        <x:v>0.3</x:v>
      </x:c>
      <x:c r="D105" s="193" t="n">
        <x:v>0.3</x:v>
      </x:c>
      <x:c r="E105" s="193" t="n">
        <x:v>0.3</x:v>
      </x:c>
      <x:c r="F105" s="193" t="n">
        <x:v>0.3</x:v>
      </x:c>
      <x:c r="G105" s="193" t="n">
        <x:v>0.3</x:v>
      </x:c>
      <x:c r="H105" s="194" t="n">
        <x:f>'核心假设'!P26</x:f>
        <x:v>0.3</x:v>
      </x:c>
      <x:c r="I105" s="194" t="n">
        <x:f>'核心假设'!Q26</x:f>
        <x:v>0.3</x:v>
      </x:c>
      <x:c r="J105" s="194" t="n">
        <x:f>'核心假设'!R26</x:f>
        <x:v>0.3</x:v>
      </x:c>
      <x:c r="K105" s="194" t="n">
        <x:f>'核心假设'!S26</x:f>
        <x:v>0.3</x:v>
      </x:c>
      <x:c r="L105" s="194" t="n">
        <x:f>'核心假设'!T26</x:f>
        <x:v>0.3</x:v>
      </x:c>
      <x:c r="M105" s="193" t="n">
        <x:f>MAX(ABS(C105-H105),ABS(D105-I105),ABS(E105-J105),ABS(F105-K105),ABS(G105-L105))</x:f>
        <x:v>0</x:v>
      </x:c>
      <x:c r="N105" s="32" t="str">
        <x:f>IF(M105&lt;=0.000001,"OK","CHECK")</x:f>
        <x:v>OK</x:v>
      </x:c>
    </x:row>
    <x:row r="106">
      <x:c r="A106" s="32" t="str">
        <x:v>乐观</x:v>
      </x:c>
      <x:c r="B106" s="32" t="str">
        <x:v>存量业务收入（百万元）</x:v>
      </x:c>
      <x:c r="C106" s="193" t="n">
        <x:v>480</x:v>
      </x:c>
      <x:c r="D106" s="193" t="n">
        <x:v>520</x:v>
      </x:c>
      <x:c r="E106" s="193" t="n">
        <x:v>560</x:v>
      </x:c>
      <x:c r="F106" s="193" t="n">
        <x:v>600</x:v>
      </x:c>
      <x:c r="G106" s="193" t="n">
        <x:v>640</x:v>
      </x:c>
      <x:c r="H106" s="194" t="n">
        <x:f>'核心假设'!P29</x:f>
        <x:v>480</x:v>
      </x:c>
      <x:c r="I106" s="194" t="n">
        <x:f>'核心假设'!Q29</x:f>
        <x:v>520</x:v>
      </x:c>
      <x:c r="J106" s="194" t="n">
        <x:f>'核心假设'!R29</x:f>
        <x:v>560</x:v>
      </x:c>
      <x:c r="K106" s="194" t="n">
        <x:f>'核心假设'!S29</x:f>
        <x:v>600</x:v>
      </x:c>
      <x:c r="L106" s="194" t="n">
        <x:f>'核心假设'!T29</x:f>
        <x:v>640</x:v>
      </x:c>
      <x:c r="M106" s="193" t="n">
        <x:f>MAX(ABS(C106-H106),ABS(D106-I106),ABS(E106-J106),ABS(F106-K106),ABS(G106-L106))</x:f>
        <x:v>0</x:v>
      </x:c>
      <x:c r="N106" s="32" t="str">
        <x:f>IF(M106&lt;=0.000001,"OK","CHECK")</x:f>
        <x:v>OK</x:v>
      </x:c>
    </x:row>
    <x:row r="107">
      <x:c r="A107" s="32" t="str">
        <x:v>乐观</x:v>
      </x:c>
      <x:c r="B107" s="32" t="str">
        <x:v>存量业务毛利率</x:v>
      </x:c>
      <x:c r="C107" s="193" t="n">
        <x:v>0.22</x:v>
      </x:c>
      <x:c r="D107" s="193" t="n">
        <x:v>0.24</x:v>
      </x:c>
      <x:c r="E107" s="193" t="n">
        <x:v>0.27</x:v>
      </x:c>
      <x:c r="F107" s="193" t="n">
        <x:v>0.28</x:v>
      </x:c>
      <x:c r="G107" s="193" t="n">
        <x:v>0.29</x:v>
      </x:c>
      <x:c r="H107" s="194" t="n">
        <x:f>'核心假设'!P30</x:f>
        <x:v>0.22</x:v>
      </x:c>
      <x:c r="I107" s="194" t="n">
        <x:f>'核心假设'!Q30</x:f>
        <x:v>0.24</x:v>
      </x:c>
      <x:c r="J107" s="194" t="n">
        <x:f>'核心假设'!R30</x:f>
        <x:v>0.27</x:v>
      </x:c>
      <x:c r="K107" s="194" t="n">
        <x:f>'核心假设'!S30</x:f>
        <x:v>0.28</x:v>
      </x:c>
      <x:c r="L107" s="194" t="n">
        <x:f>'核心假设'!T30</x:f>
        <x:v>0.29</x:v>
      </x:c>
      <x:c r="M107" s="193" t="n">
        <x:f>MAX(ABS(C107-H107),ABS(D107-I107),ABS(E107-J107),ABS(F107-K107),ABS(G107-L107))</x:f>
        <x:v>0</x:v>
      </x:c>
      <x:c r="N107" s="32" t="str">
        <x:f>IF(M107&lt;=0.000001,"OK","CHECK")</x:f>
        <x:v>OK</x:v>
      </x:c>
    </x:row>
    <x:row r="108">
      <x:c r="A108" s="32" t="str">
        <x:v>乐观</x:v>
      </x:c>
      <x:c r="B108" s="32" t="str">
        <x:v>销售费用率</x:v>
      </x:c>
      <x:c r="C108" s="193" t="n">
        <x:v>0.025</x:v>
      </x:c>
      <x:c r="D108" s="193" t="n">
        <x:v>0.011</x:v>
      </x:c>
      <x:c r="E108" s="193" t="n">
        <x:v>0.009</x:v>
      </x:c>
      <x:c r="F108" s="193" t="n">
        <x:v>0.008</x:v>
      </x:c>
      <x:c r="G108" s="193" t="n">
        <x:v>0.007</x:v>
      </x:c>
      <x:c r="H108" s="194" t="n">
        <x:f>'核心假设'!P31</x:f>
        <x:v>0.025</x:v>
      </x:c>
      <x:c r="I108" s="194" t="n">
        <x:f>'核心假设'!Q31</x:f>
        <x:v>0.011</x:v>
      </x:c>
      <x:c r="J108" s="194" t="n">
        <x:f>'核心假设'!R31</x:f>
        <x:v>0.009</x:v>
      </x:c>
      <x:c r="K108" s="194" t="n">
        <x:f>'核心假设'!S31</x:f>
        <x:v>0.008</x:v>
      </x:c>
      <x:c r="L108" s="194" t="n">
        <x:f>'核心假设'!T31</x:f>
        <x:v>0.007</x:v>
      </x:c>
      <x:c r="M108" s="193" t="n">
        <x:f>MAX(ABS(C108-H108),ABS(D108-I108),ABS(E108-J108),ABS(F108-K108),ABS(G108-L108))</x:f>
        <x:v>0</x:v>
      </x:c>
      <x:c r="N108" s="32" t="str">
        <x:f>IF(M108&lt;=0.000001,"OK","CHECK")</x:f>
        <x:v>OK</x:v>
      </x:c>
    </x:row>
    <x:row r="109">
      <x:c r="A109" s="32" t="str">
        <x:v>乐观</x:v>
      </x:c>
      <x:c r="B109" s="32" t="str">
        <x:v>管理费用率</x:v>
      </x:c>
      <x:c r="C109" s="193" t="n">
        <x:v>0.05</x:v>
      </x:c>
      <x:c r="D109" s="193" t="n">
        <x:v>0.021</x:v>
      </x:c>
      <x:c r="E109" s="193" t="n">
        <x:v>0.019</x:v>
      </x:c>
      <x:c r="F109" s="193" t="n">
        <x:v>0.018</x:v>
      </x:c>
      <x:c r="G109" s="193" t="n">
        <x:v>0.017</x:v>
      </x:c>
      <x:c r="H109" s="194" t="n">
        <x:f>'核心假设'!P32</x:f>
        <x:v>0.05</x:v>
      </x:c>
      <x:c r="I109" s="194" t="n">
        <x:f>'核心假设'!Q32</x:f>
        <x:v>0.021</x:v>
      </x:c>
      <x:c r="J109" s="194" t="n">
        <x:f>'核心假设'!R32</x:f>
        <x:v>0.019</x:v>
      </x:c>
      <x:c r="K109" s="194" t="n">
        <x:f>'核心假设'!S32</x:f>
        <x:v>0.018</x:v>
      </x:c>
      <x:c r="L109" s="194" t="n">
        <x:f>'核心假设'!T32</x:f>
        <x:v>0.017</x:v>
      </x:c>
      <x:c r="M109" s="193" t="n">
        <x:f>MAX(ABS(C109-H109),ABS(D109-I109),ABS(E109-J109),ABS(F109-K109),ABS(G109-L109))</x:f>
        <x:v>0</x:v>
      </x:c>
      <x:c r="N109" s="32" t="str">
        <x:f>IF(M109&lt;=0.000001,"OK","CHECK")</x:f>
        <x:v>OK</x:v>
      </x:c>
    </x:row>
    <x:row r="110">
      <x:c r="A110" s="32" t="str">
        <x:v>乐观</x:v>
      </x:c>
      <x:c r="B110" s="32" t="str">
        <x:v>研发费用率</x:v>
      </x:c>
      <x:c r="C110" s="193" t="n">
        <x:v>0.045</x:v>
      </x:c>
      <x:c r="D110" s="193" t="n">
        <x:v>0.019</x:v>
      </x:c>
      <x:c r="E110" s="193" t="n">
        <x:v>0.017</x:v>
      </x:c>
      <x:c r="F110" s="193" t="n">
        <x:v>0.015</x:v>
      </x:c>
      <x:c r="G110" s="193" t="n">
        <x:v>0.014</x:v>
      </x:c>
      <x:c r="H110" s="194" t="n">
        <x:f>'核心假设'!P33</x:f>
        <x:v>0.045</x:v>
      </x:c>
      <x:c r="I110" s="194" t="n">
        <x:f>'核心假设'!Q33</x:f>
        <x:v>0.019</x:v>
      </x:c>
      <x:c r="J110" s="194" t="n">
        <x:f>'核心假设'!R33</x:f>
        <x:v>0.017</x:v>
      </x:c>
      <x:c r="K110" s="194" t="n">
        <x:f>'核心假设'!S33</x:f>
        <x:v>0.015</x:v>
      </x:c>
      <x:c r="L110" s="194" t="n">
        <x:f>'核心假设'!T33</x:f>
        <x:v>0.014</x:v>
      </x:c>
      <x:c r="M110" s="193" t="n">
        <x:f>MAX(ABS(C110-H110),ABS(D110-I110),ABS(E110-J110),ABS(F110-K110),ABS(G110-L110))</x:f>
        <x:v>0</x:v>
      </x:c>
      <x:c r="N110" s="32" t="str">
        <x:f>IF(M110&lt;=0.000001,"OK","CHECK")</x:f>
        <x:v>OK</x:v>
      </x:c>
    </x:row>
    <x:row r="111">
      <x:c r="A111" s="32" t="str">
        <x:v>乐观</x:v>
      </x:c>
      <x:c r="B111" s="32" t="str">
        <x:v>财务费用率</x:v>
      </x:c>
      <x:c r="C111" s="193" t="n">
        <x:v>0.01</x:v>
      </x:c>
      <x:c r="D111" s="193" t="n">
        <x:v>0.005</x:v>
      </x:c>
      <x:c r="E111" s="193" t="n">
        <x:v>0.004</x:v>
      </x:c>
      <x:c r="F111" s="193" t="n">
        <x:v>0.003</x:v>
      </x:c>
      <x:c r="G111" s="193" t="n">
        <x:v>0.003</x:v>
      </x:c>
      <x:c r="H111" s="194" t="n">
        <x:f>'核心假设'!P34</x:f>
        <x:v>0.01</x:v>
      </x:c>
      <x:c r="I111" s="194" t="n">
        <x:f>'核心假设'!Q34</x:f>
        <x:v>0.005</x:v>
      </x:c>
      <x:c r="J111" s="194" t="n">
        <x:f>'核心假设'!R34</x:f>
        <x:v>0.004</x:v>
      </x:c>
      <x:c r="K111" s="194" t="n">
        <x:f>'核心假设'!S34</x:f>
        <x:v>0.003</x:v>
      </x:c>
      <x:c r="L111" s="194" t="n">
        <x:f>'核心假设'!T34</x:f>
        <x:v>0.003</x:v>
      </x:c>
      <x:c r="M111" s="193" t="n">
        <x:f>MAX(ABS(C111-H111),ABS(D111-I111),ABS(E111-J111),ABS(F111-K111),ABS(G111-L111))</x:f>
        <x:v>0</x:v>
      </x:c>
      <x:c r="N111" s="32" t="str">
        <x:f>IF(M111&lt;=0.000001,"OK","CHECK")</x:f>
        <x:v>OK</x:v>
      </x:c>
    </x:row>
    <x:row r="112">
      <x:c r="A112" s="32" t="str">
        <x:v>乐观</x:v>
      </x:c>
      <x:c r="B112" s="32" t="str">
        <x:v>减值损失（百万元）</x:v>
      </x:c>
      <x:c r="C112" s="193" t="n">
        <x:v>2</x:v>
      </x:c>
      <x:c r="D112" s="193" t="n">
        <x:v>2</x:v>
      </x:c>
      <x:c r="E112" s="193" t="n">
        <x:v>2</x:v>
      </x:c>
      <x:c r="F112" s="193" t="n">
        <x:v>2</x:v>
      </x:c>
      <x:c r="G112" s="193" t="n">
        <x:v>2</x:v>
      </x:c>
      <x:c r="H112" s="194" t="n">
        <x:f>'核心假设'!P35</x:f>
        <x:v>2</x:v>
      </x:c>
      <x:c r="I112" s="194" t="n">
        <x:f>'核心假设'!Q35</x:f>
        <x:v>2</x:v>
      </x:c>
      <x:c r="J112" s="194" t="n">
        <x:f>'核心假设'!R35</x:f>
        <x:v>2</x:v>
      </x:c>
      <x:c r="K112" s="194" t="n">
        <x:f>'核心假设'!S35</x:f>
        <x:v>2</x:v>
      </x:c>
      <x:c r="L112" s="194" t="n">
        <x:f>'核心假设'!T35</x:f>
        <x:v>2</x:v>
      </x:c>
      <x:c r="M112" s="193" t="n">
        <x:f>MAX(ABS(C112-H112),ABS(D112-I112),ABS(E112-J112),ABS(F112-K112),ABS(G112-L112))</x:f>
        <x:v>0</x:v>
      </x:c>
      <x:c r="N112" s="32" t="str">
        <x:f>IF(M112&lt;=0.000001,"OK","CHECK")</x:f>
        <x:v>OK</x:v>
      </x:c>
    </x:row>
    <x:row r="113">
      <x:c r="A113" s="32" t="str">
        <x:v>乐观</x:v>
      </x:c>
      <x:c r="B113" s="32" t="str">
        <x:v>其他收益净额（百万元）</x:v>
      </x:c>
      <x:c r="C113" s="193" t="n">
        <x:v>5</x:v>
      </x:c>
      <x:c r="D113" s="193" t="n">
        <x:v>5</x:v>
      </x:c>
      <x:c r="E113" s="193" t="n">
        <x:v>5</x:v>
      </x:c>
      <x:c r="F113" s="193" t="n">
        <x:v>5</x:v>
      </x:c>
      <x:c r="G113" s="193" t="n">
        <x:v>5</x:v>
      </x:c>
      <x:c r="H113" s="194" t="n">
        <x:f>'核心假设'!P36</x:f>
        <x:v>5</x:v>
      </x:c>
      <x:c r="I113" s="194" t="n">
        <x:f>'核心假设'!Q36</x:f>
        <x:v>5</x:v>
      </x:c>
      <x:c r="J113" s="194" t="n">
        <x:f>'核心假设'!R36</x:f>
        <x:v>5</x:v>
      </x:c>
      <x:c r="K113" s="194" t="n">
        <x:f>'核心假设'!S36</x:f>
        <x:v>5</x:v>
      </x:c>
      <x:c r="L113" s="194" t="n">
        <x:f>'核心假设'!T36</x:f>
        <x:v>5</x:v>
      </x:c>
      <x:c r="M113" s="193" t="n">
        <x:f>MAX(ABS(C113-H113),ABS(D113-I113),ABS(E113-J113),ABS(F113-K113),ABS(G113-L113))</x:f>
        <x:v>0</x:v>
      </x:c>
      <x:c r="N113" s="32" t="str">
        <x:f>IF(M113&lt;=0.000001,"OK","CHECK")</x:f>
        <x:v>OK</x:v>
      </x:c>
    </x:row>
    <x:row r="114">
      <x:c r="A114" s="32" t="str">
        <x:v>乐观</x:v>
      </x:c>
      <x:c r="B114" s="32" t="str">
        <x:v>所得税率</x:v>
      </x:c>
      <x:c r="C114" s="193" t="n">
        <x:v>0.19</x:v>
      </x:c>
      <x:c r="D114" s="193" t="n">
        <x:v>0.2</x:v>
      </x:c>
      <x:c r="E114" s="193" t="n">
        <x:v>0.2</x:v>
      </x:c>
      <x:c r="F114" s="193" t="n">
        <x:v>0.2</x:v>
      </x:c>
      <x:c r="G114" s="193" t="n">
        <x:v>0.2</x:v>
      </x:c>
      <x:c r="H114" s="194" t="n">
        <x:f>'核心假设'!P37</x:f>
        <x:v>0.19</x:v>
      </x:c>
      <x:c r="I114" s="194" t="n">
        <x:f>'核心假设'!Q37</x:f>
        <x:v>0.2</x:v>
      </x:c>
      <x:c r="J114" s="194" t="n">
        <x:f>'核心假设'!R37</x:f>
        <x:v>0.2</x:v>
      </x:c>
      <x:c r="K114" s="194" t="n">
        <x:f>'核心假设'!S37</x:f>
        <x:v>0.2</x:v>
      </x:c>
      <x:c r="L114" s="194" t="n">
        <x:f>'核心假设'!T37</x:f>
        <x:v>0.2</x:v>
      </x:c>
      <x:c r="M114" s="193" t="n">
        <x:f>MAX(ABS(C114-H114),ABS(D114-I114),ABS(E114-J114),ABS(F114-K114),ABS(G114-L114))</x:f>
        <x:v>0</x:v>
      </x:c>
      <x:c r="N114" s="32" t="str">
        <x:f>IF(M114&lt;=0.000001,"OK","CHECK")</x:f>
        <x:v>OK</x:v>
      </x:c>
    </x:row>
    <x:row r="115">
      <x:c r="A115" s="32" t="str">
        <x:v>乐观</x:v>
      </x:c>
      <x:c r="B115" s="32" t="str">
        <x:v>总股本（百万股）</x:v>
      </x:c>
      <x:c r="C115" s="193" t="n">
        <x:v>397.028823</x:v>
      </x:c>
      <x:c r="D115" s="193" t="n">
        <x:v>397.028823</x:v>
      </x:c>
      <x:c r="E115" s="193" t="n">
        <x:v>397.028823</x:v>
      </x:c>
      <x:c r="F115" s="193" t="n">
        <x:v>397.028823</x:v>
      </x:c>
      <x:c r="G115" s="193" t="n">
        <x:v>397.028823</x:v>
      </x:c>
      <x:c r="H115" s="194" t="n">
        <x:f>'核心假设'!P38</x:f>
        <x:v>397.028823</x:v>
      </x:c>
      <x:c r="I115" s="194" t="n">
        <x:f>'核心假设'!Q38</x:f>
        <x:v>397.028823</x:v>
      </x:c>
      <x:c r="J115" s="194" t="n">
        <x:f>'核心假设'!R38</x:f>
        <x:v>397.028823</x:v>
      </x:c>
      <x:c r="K115" s="194" t="n">
        <x:f>'核心假设'!S38</x:f>
        <x:v>397.028823</x:v>
      </x:c>
      <x:c r="L115" s="194" t="n">
        <x:f>'核心假设'!T38</x:f>
        <x:v>397.028823</x:v>
      </x:c>
      <x:c r="M115" s="193" t="n">
        <x:f>MAX(ABS(C115-H115),ABS(D115-I115),ABS(E115-J115),ABS(F115-K115),ABS(G115-L115))</x:f>
        <x:v>0</x:v>
      </x:c>
      <x:c r="N115" s="32" t="str">
        <x:f>IF(M115&lt;=0.000001,"OK","CHECK")</x:f>
        <x:v>OK</x:v>
      </x:c>
    </x:row>
    <x:row r="116">
      <x:c r="A116" s="32" t="str">
        <x:v>乐观</x:v>
      </x:c>
      <x:c r="B116" s="32" t="str">
        <x:v>加工少数股东比例</x:v>
      </x:c>
      <x:c r="C116" s="193" t="n">
        <x:v>0.1</x:v>
      </x:c>
      <x:c r="D116" s="193" t="n">
        <x:v>0.1</x:v>
      </x:c>
      <x:c r="E116" s="193" t="n">
        <x:v>0.1</x:v>
      </x:c>
      <x:c r="F116" s="193" t="n">
        <x:v>0.1</x:v>
      </x:c>
      <x:c r="G116" s="193" t="n">
        <x:v>0.1</x:v>
      </x:c>
      <x:c r="H116" s="194" t="n">
        <x:f>'核心假设'!P39</x:f>
        <x:v>0.1</x:v>
      </x:c>
      <x:c r="I116" s="194" t="n">
        <x:f>'核心假设'!Q39</x:f>
        <x:v>0.1</x:v>
      </x:c>
      <x:c r="J116" s="194" t="n">
        <x:f>'核心假设'!R39</x:f>
        <x:v>0.1</x:v>
      </x:c>
      <x:c r="K116" s="194" t="n">
        <x:f>'核心假设'!S39</x:f>
        <x:v>0.1</x:v>
      </x:c>
      <x:c r="L116" s="194" t="n">
        <x:f>'核心假设'!T39</x:f>
        <x:v>0.1</x:v>
      </x:c>
      <x:c r="M116" s="193" t="n">
        <x:f>MAX(ABS(C116-H116),ABS(D116-I116),ABS(E116-J116),ABS(F116-K116),ABS(G116-L116))</x:f>
        <x:v>0</x:v>
      </x:c>
      <x:c r="N116" s="32" t="str">
        <x:f>IF(M116&lt;=0.000001,"OK","CHECK")</x:f>
        <x:v>OK</x:v>
      </x:c>
    </x:row>
    <x:row r="117">
      <x:c r="A117" s="32" t="str">
        <x:v>乐观</x:v>
      </x:c>
      <x:c r="B117" s="32" t="str">
        <x:v>设备少数股东比例</x:v>
      </x:c>
      <x:c r="C117" s="193" t="n">
        <x:v>0.49</x:v>
      </x:c>
      <x:c r="D117" s="193" t="n">
        <x:v>0.49</x:v>
      </x:c>
      <x:c r="E117" s="193" t="n">
        <x:v>0.49</x:v>
      </x:c>
      <x:c r="F117" s="193" t="n">
        <x:v>0.49</x:v>
      </x:c>
      <x:c r="G117" s="193" t="n">
        <x:v>0.49</x:v>
      </x:c>
      <x:c r="H117" s="194" t="n">
        <x:f>'核心假设'!P40</x:f>
        <x:v>0.49</x:v>
      </x:c>
      <x:c r="I117" s="194" t="n">
        <x:f>'核心假设'!Q40</x:f>
        <x:v>0.49</x:v>
      </x:c>
      <x:c r="J117" s="194" t="n">
        <x:f>'核心假设'!R40</x:f>
        <x:v>0.49</x:v>
      </x:c>
      <x:c r="K117" s="194" t="n">
        <x:f>'核心假设'!S40</x:f>
        <x:v>0.49</x:v>
      </x:c>
      <x:c r="L117" s="194" t="n">
        <x:f>'核心假设'!T40</x:f>
        <x:v>0.49</x:v>
      </x:c>
      <x:c r="M117" s="193" t="n">
        <x:f>MAX(ABS(C117-H117),ABS(D117-I117),ABS(E117-J117),ABS(F117-K117),ABS(G117-L117))</x:f>
        <x:v>0</x:v>
      </x:c>
      <x:c r="N117" s="32" t="str">
        <x:f>IF(M117&lt;=0.000001,"OK","CHECK")</x:f>
        <x:v>OK</x:v>
      </x:c>
    </x:row>
    <x:row r="118">
      <x:c r="A118" s="32" t="str">
        <x:v>乐观</x:v>
      </x:c>
      <x:c r="B118" s="32" t="str">
        <x:v>耗材少数股东比例</x:v>
      </x:c>
      <x:c r="C118" s="193" t="n">
        <x:v>0.3</x:v>
      </x:c>
      <x:c r="D118" s="193" t="n">
        <x:v>0.3</x:v>
      </x:c>
      <x:c r="E118" s="193" t="n">
        <x:v>0.3</x:v>
      </x:c>
      <x:c r="F118" s="193" t="n">
        <x:v>0.3</x:v>
      </x:c>
      <x:c r="G118" s="193" t="n">
        <x:v>0.3</x:v>
      </x:c>
      <x:c r="H118" s="194" t="n">
        <x:f>'核心假设'!P41</x:f>
        <x:v>0.3</x:v>
      </x:c>
      <x:c r="I118" s="194" t="n">
        <x:f>'核心假设'!Q41</x:f>
        <x:v>0.3</x:v>
      </x:c>
      <x:c r="J118" s="194" t="n">
        <x:f>'核心假设'!R41</x:f>
        <x:v>0.3</x:v>
      </x:c>
      <x:c r="K118" s="194" t="n">
        <x:f>'核心假设'!S41</x:f>
        <x:v>0.3</x:v>
      </x:c>
      <x:c r="L118" s="194" t="n">
        <x:f>'核心假设'!T41</x:f>
        <x:v>0.3</x:v>
      </x:c>
      <x:c r="M118" s="193" t="n">
        <x:f>MAX(ABS(C118-H118),ABS(D118-I118),ABS(E118-J118),ABS(F118-K118),ABS(G118-L118))</x:f>
        <x:v>0</x:v>
      </x:c>
      <x:c r="N118" s="32" t="str">
        <x:f>IF(M118&lt;=0.000001,"OK","CHECK")</x:f>
        <x:v>OK</x:v>
      </x:c>
    </x:row>
    <x:row r="120" ht="22" customHeight="1">
      <x:c r="A120" s="210" t="str">
        <x:v>网页研究数据完整性核对</x:v>
      </x:c>
      <x:c r="B120" s="210" t="str">
        <x:v>网页研究数据完整性核对</x:v>
      </x:c>
      <x:c r="C120" s="210" t="str">
        <x:v>网页研究数据完整性核对</x:v>
      </x:c>
      <x:c r="D120" s="210" t="str">
        <x:v>网页研究数据完整性核对</x:v>
      </x:c>
      <x:c r="E120" s="210" t="str">
        <x:v>网页研究数据完整性核对</x:v>
      </x:c>
      <x:c r="F120" s="210" t="str">
        <x:v>网页研究数据完整性核对</x:v>
      </x:c>
      <x:c r="G120" s="210" t="str">
        <x:v>网页研究数据完整性核对</x:v>
      </x:c>
      <x:c r="H120" s="210" t="str">
        <x:v>网页研究数据完整性核对</x:v>
      </x:c>
      <x:c r="I120" s="210" t="str">
        <x:v>网页研究数据完整性核对</x:v>
      </x:c>
      <x:c r="J120" s="210" t="str">
        <x:v>网页研究数据完整性核对</x:v>
      </x:c>
      <x:c r="K120" s="210" t="str">
        <x:v>网页研究数据完整性核对</x:v>
      </x:c>
      <x:c r="L120" s="210" t="str">
        <x:v>网页研究数据完整性核对</x:v>
      </x:c>
      <x:c r="M120" s="210" t="str">
        <x:v>网页研究数据完整性核对</x:v>
      </x:c>
      <x:c r="N120" s="210" t="str">
        <x:v>网页研究数据完整性核对</x:v>
      </x:c>
      <x:c r="O120" s="210" t="str">
        <x:v>网页研究数据完整性核对</x:v>
      </x:c>
      <x:c r="P120" s="210" t="str">
        <x:v>网页研究数据完整性核对</x:v>
      </x:c>
      <x:c r="Q120" s="210" t="str">
        <x:v>网页研究数据完整性核对</x:v>
      </x:c>
      <x:c r="R120" s="210" t="str">
        <x:v>网页研究数据完整性核对</x:v>
      </x:c>
      <x:c r="S120" s="210" t="str">
        <x:v>网页研究数据完整性核对</x:v>
      </x:c>
      <x:c r="T120" s="210" t="str">
        <x:v>网页研究数据完整性核对</x:v>
      </x:c>
      <x:c r="U120" s="210" t="str">
        <x:v>网页研究数据完整性核对</x:v>
      </x:c>
    </x:row>
    <x:row r="121">
      <x:c r="A121" s="216" t="str">
        <x:v>网页模块</x:v>
      </x:c>
      <x:c r="B121" s="216" t="str">
        <x:v>网页记录数</x:v>
      </x:c>
      <x:c r="C121" s="216" t="str">
        <x:v>Excel记录数</x:v>
      </x:c>
      <x:c r="D121" s="216" t="str">
        <x:v>差异</x:v>
      </x:c>
      <x:c r="E121" s="216" t="str">
        <x:v>状态</x:v>
      </x:c>
      <x:c r="F121" s="216" t="str">
        <x:v>Excel位置</x:v>
      </x:c>
    </x:row>
    <x:row r="122" ht="42" customHeight="1">
      <x:c r="A122" s="219" t="str">
        <x:v>endpointAiForecast</x:v>
      </x:c>
      <x:c r="B122" s="266" t="n">
        <x:v>4</x:v>
      </x:c>
      <x:c r="C122" s="267" t="n">
        <x:f>COUNTA('行业研判'!A6:A9)</x:f>
        <x:v>4</x:v>
      </x:c>
      <x:c r="D122" s="248" t="n">
        <x:f>C122-B122</x:f>
        <x:v>0</x:v>
      </x:c>
      <x:c r="E122" s="263" t="str">
        <x:f>IF(D122=0,"OK","CHECK")</x:f>
        <x:v>OK</x:v>
      </x:c>
      <x:c r="F122" s="260" t="str">
        <x:v>行业研判!A6:F9</x:v>
      </x:c>
    </x:row>
    <x:row r="123" ht="42" customHeight="1">
      <x:c r="A123" s="219" t="str">
        <x:v>foldableForecast</x:v>
      </x:c>
      <x:c r="B123" s="266" t="n">
        <x:v>4</x:v>
      </x:c>
      <x:c r="C123" s="267" t="n">
        <x:f>COUNTA('行业研判'!A14:A17)</x:f>
        <x:v>4</x:v>
      </x:c>
      <x:c r="D123" s="248" t="n">
        <x:f>C123-B123</x:f>
        <x:v>0</x:v>
      </x:c>
      <x:c r="E123" s="263" t="str">
        <x:f>IF(D123=0,"OK","CHECK")</x:f>
        <x:v>OK</x:v>
      </x:c>
      <x:c r="F123" s="260" t="str">
        <x:v>行业研判!A14:F17</x:v>
      </x:c>
    </x:row>
    <x:row r="124" ht="42" customHeight="1">
      <x:c r="A124" s="219" t="str">
        <x:v>industryResearchBridge</x:v>
      </x:c>
      <x:c r="B124" s="266" t="n">
        <x:v>5</x:v>
      </x:c>
      <x:c r="C124" s="267" t="n">
        <x:f>COUNTA('行业研判'!A21:A25)</x:f>
        <x:v>5</x:v>
      </x:c>
      <x:c r="D124" s="248" t="n">
        <x:f>C124-B124</x:f>
        <x:v>0</x:v>
      </x:c>
      <x:c r="E124" s="263" t="str">
        <x:f>IF(D124=0,"OK","CHECK")</x:f>
        <x:v>OK</x:v>
      </x:c>
      <x:c r="F124" s="260" t="str">
        <x:v>行业研判!A21:K25</x:v>
      </x:c>
    </x:row>
    <x:row r="125" ht="42" customHeight="1">
      <x:c r="A125" s="219" t="str">
        <x:v>appleInnovationMilestones</x:v>
      </x:c>
      <x:c r="B125" s="266" t="n">
        <x:v>3</x:v>
      </x:c>
      <x:c r="C125" s="267" t="n">
        <x:f>COUNTA('行业研判'!A30:A32)</x:f>
        <x:v>3</x:v>
      </x:c>
      <x:c r="D125" s="248" t="n">
        <x:f>C125-B125</x:f>
        <x:v>0</x:v>
      </x:c>
      <x:c r="E125" s="263" t="str">
        <x:f>IF(D125=0,"OK","CHECK")</x:f>
        <x:v>OK</x:v>
      </x:c>
      <x:c r="F125" s="260" t="str">
        <x:v>行业研判!A30:G32</x:v>
      </x:c>
    </x:row>
    <x:row r="126" ht="42" customHeight="1">
      <x:c r="A126" s="219" t="str">
        <x:v>appleInnovationNews</x:v>
      </x:c>
      <x:c r="B126" s="266" t="n">
        <x:v>6</x:v>
      </x:c>
      <x:c r="C126" s="267" t="n">
        <x:f>COUNTA('行业研判'!A36:A41)</x:f>
        <x:v>6</x:v>
      </x:c>
      <x:c r="D126" s="248" t="n">
        <x:f>C126-B126</x:f>
        <x:v>0</x:v>
      </x:c>
      <x:c r="E126" s="263" t="str">
        <x:f>IF(D126=0,"OK","CHECK")</x:f>
        <x:v>OK</x:v>
      </x:c>
      <x:c r="F126" s="260" t="str">
        <x:v>行业研判!A36:H41</x:v>
      </x:c>
    </x:row>
    <x:row r="127" ht="42" customHeight="1">
      <x:c r="A127" s="219" t="str">
        <x:v>nonPvEvolution</x:v>
      </x:c>
      <x:c r="B127" s="266" t="n">
        <x:v>3</x:v>
      </x:c>
      <x:c r="C127" s="267" t="n">
        <x:f>COUNTA('行业研判'!A45:A47)</x:f>
        <x:v>3</x:v>
      </x:c>
      <x:c r="D127" s="248" t="n">
        <x:f>C127-B127</x:f>
        <x:v>0</x:v>
      </x:c>
      <x:c r="E127" s="263" t="str">
        <x:f>IF(D127=0,"OK","CHECK")</x:f>
        <x:v>OK</x:v>
      </x:c>
      <x:c r="F127" s="260" t="str">
        <x:v>行业研判!A45:F47</x:v>
      </x:c>
    </x:row>
    <x:row r="128" ht="42" customHeight="1">
      <x:c r="A128" s="219" t="str">
        <x:v>addressableMarketItems</x:v>
      </x:c>
      <x:c r="B128" s="266" t="n">
        <x:v>5</x:v>
      </x:c>
      <x:c r="C128" s="267" t="n">
        <x:f>COUNTA('行业研判'!A51:A55)</x:f>
        <x:v>5</x:v>
      </x:c>
      <x:c r="D128" s="248" t="n">
        <x:f>C128-B128</x:f>
        <x:v>0</x:v>
      </x:c>
      <x:c r="E128" s="263" t="str">
        <x:f>IF(D128=0,"OK","CHECK")</x:f>
        <x:v>OK</x:v>
      </x:c>
      <x:c r="F128" s="260" t="str">
        <x:v>行业研判!A51:K55</x:v>
      </x:c>
    </x:row>
    <x:row r="129" ht="42" customHeight="1">
      <x:c r="A129" s="219" t="str">
        <x:v>robotTendonPlatform.market</x:v>
      </x:c>
      <x:c r="B129" s="266" t="n">
        <x:v>5</x:v>
      </x:c>
      <x:c r="C129" s="267" t="n">
        <x:f>COUNTA('增长点与期权'!A6:A10)</x:f>
        <x:v>5</x:v>
      </x:c>
      <x:c r="D129" s="248" t="n">
        <x:f>C129-B129</x:f>
        <x:v>0</x:v>
      </x:c>
      <x:c r="E129" s="263" t="str">
        <x:f>IF(D129=0,"OK","CHECK")</x:f>
        <x:v>OK</x:v>
      </x:c>
      <x:c r="F129" s="260" t="str">
        <x:v>增长点与期权!A6:M10</x:v>
      </x:c>
    </x:row>
    <x:row r="130" ht="42" customHeight="1">
      <x:c r="A130" s="219" t="str">
        <x:v>glassSubstratePlatform.market</x:v>
      </x:c>
      <x:c r="B130" s="266" t="n">
        <x:v>5</x:v>
      </x:c>
      <x:c r="C130" s="267" t="n">
        <x:f>COUNTA('增长点与期权'!A16:A20)</x:f>
        <x:v>5</x:v>
      </x:c>
      <x:c r="D130" s="248" t="n">
        <x:f>C130-B130</x:f>
        <x:v>0</x:v>
      </x:c>
      <x:c r="E130" s="263" t="str">
        <x:f>IF(D130=0,"OK","CHECK")</x:f>
        <x:v>OK</x:v>
      </x:c>
      <x:c r="F130" s="260" t="str">
        <x:v>增长点与期权!A16:J20</x:v>
      </x:c>
    </x:row>
    <x:row r="131" ht="42" customHeight="1">
      <x:c r="A131" s="219" t="str">
        <x:v>diamondCopperThermalPlatform.market</x:v>
      </x:c>
      <x:c r="B131" s="266" t="n">
        <x:v>5</x:v>
      </x:c>
      <x:c r="C131" s="267" t="n">
        <x:f>COUNTA('新增市场空间'!A6:A10)</x:f>
        <x:v>5</x:v>
      </x:c>
      <x:c r="D131" s="248" t="n">
        <x:f>C131-B131</x:f>
        <x:v>0</x:v>
      </x:c>
      <x:c r="E131" s="263" t="str">
        <x:f>IF(D131=0,"OK","CHECK")</x:f>
        <x:v>OK</x:v>
      </x:c>
      <x:c r="F131" s="260" t="str">
        <x:v>新增市场空间!A6:H10</x:v>
      </x:c>
    </x:row>
    <x:row r="132" ht="42" customHeight="1">
      <x:c r="A132" s="219" t="str">
        <x:v>energyGrowthForecast</x:v>
      </x:c>
      <x:c r="B132" s="266" t="n">
        <x:v>5</x:v>
      </x:c>
      <x:c r="C132" s="267" t="n">
        <x:f>COUNTA('增长点与期权'!A26:A30)</x:f>
        <x:v>5</x:v>
      </x:c>
      <x:c r="D132" s="248" t="n">
        <x:f>C132-B132</x:f>
        <x:v>0</x:v>
      </x:c>
      <x:c r="E132" s="263" t="str">
        <x:f>IF(D132=0,"OK","CHECK")</x:f>
        <x:v>OK</x:v>
      </x:c>
      <x:c r="F132" s="260" t="str">
        <x:v>增长点与期权!A26:D30</x:v>
      </x:c>
    </x:row>
    <x:row r="133" ht="42" customHeight="1">
      <x:c r="A133" s="219" t="str">
        <x:v>defaultOptionValuationAssumptions</x:v>
      </x:c>
      <x:c r="B133" s="266" t="n">
        <x:v>4</x:v>
      </x:c>
      <x:c r="C133" s="267" t="n">
        <x:f>COUNTA('增长点与期权'!A35:A38)</x:f>
        <x:v>4</x:v>
      </x:c>
      <x:c r="D133" s="248" t="n">
        <x:f>C133-B133</x:f>
        <x:v>0</x:v>
      </x:c>
      <x:c r="E133" s="263" t="str">
        <x:f>IF(D133=0,"OK","CHECK")</x:f>
        <x:v>OK</x:v>
      </x:c>
      <x:c r="F133" s="260" t="str">
        <x:v>增长点与期权!A35:K38</x:v>
      </x:c>
    </x:row>
    <x:row r="134" ht="42" customHeight="1">
      <x:c r="A134" s="219" t="str">
        <x:v>glassCncDemandBridge2027.scenarios</x:v>
      </x:c>
      <x:c r="B134" s="266" t="n">
        <x:v>3</x:v>
      </x:c>
      <x:c r="C134" s="267" t="n">
        <x:f>COUNTA('新增市场空间'!A15:A17)</x:f>
        <x:v>3</x:v>
      </x:c>
      <x:c r="D134" s="248" t="n">
        <x:f>C134-B134</x:f>
        <x:v>0</x:v>
      </x:c>
      <x:c r="E134" s="263" t="str">
        <x:f>IF(D134=0,"OK","CHECK")</x:f>
        <x:v>OK</x:v>
      </x:c>
      <x:c r="F134" s="260" t="str">
        <x:v>新增市场空间!A15:H17</x:v>
      </x:c>
    </x:row>
    <x:row r="135" ht="42" customHeight="1">
      <x:c r="A135" s="219" t="str">
        <x:v>metalCncReplacementScenarios</x:v>
      </x:c>
      <x:c r="B135" s="266" t="n">
        <x:v>3</x:v>
      </x:c>
      <x:c r="C135" s="267" t="n">
        <x:f>COUNTA('新增市场空间'!A22:A24)</x:f>
        <x:v>3</x:v>
      </x:c>
      <x:c r="D135" s="248" t="n">
        <x:f>C135-B135</x:f>
        <x:v>0</x:v>
      </x:c>
      <x:c r="E135" s="263" t="str">
        <x:f>IF(D135=0,"OK","CHECK")</x:f>
        <x:v>OK</x:v>
      </x:c>
      <x:c r="F135" s="260" t="str">
        <x:v>新增市场空间!A22:H24</x:v>
      </x:c>
    </x:row>
    <x:row r="136" ht="42" customHeight="1">
      <x:c r="A136" s="219" t="str">
        <x:v>overseasReplicationScenarios</x:v>
      </x:c>
      <x:c r="B136" s="266" t="n">
        <x:v>3</x:v>
      </x:c>
      <x:c r="C136" s="267" t="n">
        <x:f>COUNTA('新增市场空间'!A29:A31)</x:f>
        <x:v>3</x:v>
      </x:c>
      <x:c r="D136" s="248" t="n">
        <x:f>C136-B136</x:f>
        <x:v>0</x:v>
      </x:c>
      <x:c r="E136" s="263" t="str">
        <x:f>IF(D136=0,"OK","CHECK")</x:f>
        <x:v>OK</x:v>
      </x:c>
      <x:c r="F136" s="260" t="str">
        <x:v>新增市场空间!A29:H31</x:v>
      </x:c>
    </x:row>
    <x:row r="137" ht="42" customHeight="1">
      <x:c r="A137" s="219" t="str">
        <x:v>aCustomerSupplyChainOpportunity</x:v>
      </x:c>
      <x:c r="B137" s="266" t="n">
        <x:v>4</x:v>
      </x:c>
      <x:c r="C137" s="267" t="n">
        <x:f>COUNTA('新增市场空间'!A44:A46)+COUNTA('新增市场空间'!A50)</x:f>
        <x:v>4</x:v>
      </x:c>
      <x:c r="D137" s="248" t="n">
        <x:f>C137-B137</x:f>
        <x:v>0</x:v>
      </x:c>
      <x:c r="E137" s="263" t="str">
        <x:f>IF(D137=0,"OK","CHECK")</x:f>
        <x:v>OK</x:v>
      </x:c>
      <x:c r="F137" s="260" t="str">
        <x:v>新增市场空间!A44:H50</x:v>
      </x:c>
    </x:row>
    <x:row r="138" ht="42" customHeight="1">
      <x:c r="A138" s="219" t="str">
        <x:v>growthPathways</x:v>
      </x:c>
      <x:c r="B138" s="266" t="n">
        <x:v>4</x:v>
      </x:c>
      <x:c r="C138" s="267" t="n">
        <x:f>COUNTA('增长点与期权'!A50:A53)</x:f>
        <x:v>4</x:v>
      </x:c>
      <x:c r="D138" s="248" t="n">
        <x:f>C138-B138</x:f>
        <x:v>0</x:v>
      </x:c>
      <x:c r="E138" s="263" t="str">
        <x:f>IF(D138=0,"OK","CHECK")</x:f>
        <x:v>OK</x:v>
      </x:c>
      <x:c r="F138" s="260" t="str">
        <x:v>增长点与期权!A50:M53</x:v>
      </x:c>
    </x:row>
    <x:row r="139" ht="42" customHeight="1">
      <x:c r="A139" s="219" t="str">
        <x:v>growthMaturityItems</x:v>
      </x:c>
      <x:c r="B139" s="266" t="n">
        <x:v>13</x:v>
      </x:c>
      <x:c r="C139" s="267" t="n">
        <x:f>COUNTA('增长点与期权'!A57:A69)</x:f>
        <x:v>13</x:v>
      </x:c>
      <x:c r="D139" s="248" t="n">
        <x:f>C139-B139</x:f>
        <x:v>0</x:v>
      </x:c>
      <x:c r="E139" s="263" t="str">
        <x:f>IF(D139=0,"OK","CHECK")</x:f>
        <x:v>OK</x:v>
      </x:c>
      <x:c r="F139" s="260" t="str">
        <x:v>增长点与期权!A57:M69</x:v>
      </x:c>
    </x:row>
    <x:row r="140" ht="42" customHeight="1">
      <x:c r="A140" s="219" t="str">
        <x:v>evidence</x:v>
      </x:c>
      <x:c r="B140" s="266" t="n">
        <x:v>51</x:v>
      </x:c>
      <x:c r="C140" s="267" t="n">
        <x:f>COUNTA('来源审计'!A6:A56)</x:f>
        <x:v>51</x:v>
      </x:c>
      <x:c r="D140" s="248" t="n">
        <x:f>C140-B140</x:f>
        <x:v>0</x:v>
      </x:c>
      <x:c r="E140" s="263" t="str">
        <x:f>IF(D140=0,"OK","CHECK")</x:f>
        <x:v>OK</x:v>
      </x:c>
      <x:c r="F140" s="260" t="str">
        <x:v>来源审计!A6:G56</x:v>
      </x:c>
    </x:row>
  </x:sheetData>
  <x:mergeCells>
    <x:mergeCell ref="A1:U1"/>
    <x:mergeCell ref="A2:U2"/>
    <x:mergeCell ref="A4:U4"/>
    <x:mergeCell ref="A23:N23"/>
    <x:mergeCell ref="A120:U120"/>
  </x:mergeCells>
  <x:conditionalFormatting sqref="U6:U20">
    <x:cfRule type="containsText" dxfId="0" priority="1" operator="containsText" text="OK"/>
    <x:cfRule type="containsText" dxfId="1" priority="2" operator="containsText" text="CHECK"/>
  </x:conditionalFormatting>
  <x:conditionalFormatting sqref="N26:N118">
    <x:cfRule type="containsText" dxfId="2" priority="3" operator="containsText" text="OK"/>
    <x:cfRule type="containsText" dxfId="3" priority="4" operator="containsText" text="CHECK"/>
  </x:conditionalFormatting>
  <x:conditionalFormatting sqref="E122:E134">
    <x:cfRule type="containsText" dxfId="4" priority="5" operator="containsText" text="OK"/>
    <x:cfRule type="containsText" dxfId="5" priority="6" operator="containsText" text="CHECK"/>
  </x:conditionalFormatting>
  <x:pageMargins left="0.7" right="0.7" top="0.75" bottom="0.75" header="0.3" footer="0.3"/>
</x:worksheet>
</file>

<file path=xl/worksheets/sheet12.xml><?xml version="1.0" encoding="utf-8"?>
<x:worksheet xmlns:x="http://schemas.openxmlformats.org/spreadsheetml/2006/main">
  <x:sheetViews>
    <x:sheetView showGridLines="0" workbookViewId="0"/>
  </x:sheetViews>
  <x:sheetFormatPr defaultRowHeight="15"/>
  <x:cols>
    <x:col min="1" max="1" width="33" hidden="0" customWidth="1"/>
    <x:col min="2" max="2" width="14" hidden="0" customWidth="1"/>
    <x:col min="3" max="3" width="14" hidden="0" customWidth="1"/>
    <x:col min="4" max="4" width="14" hidden="0" customWidth="1"/>
    <x:col min="5" max="5" width="14" hidden="0" customWidth="1"/>
    <x:col min="6" max="6" width="11" hidden="0" customWidth="1"/>
    <x:col min="7" max="7" width="24" hidden="0" customWidth="1"/>
  </x:cols>
  <x:sheetData>
    <x:row r="1" ht="30" customHeight="1">
      <x:c r="A1" s="3" t="str">
        <x:v>模型审计与勾稽检查</x:v>
      </x:c>
      <x:c r="B1" s="3"/>
      <x:c r="C1" s="3"/>
      <x:c r="D1" s="3"/>
      <x:c r="E1" s="3"/>
      <x:c r="F1" s="3"/>
      <x:c r="G1" s="3"/>
    </x:row>
    <x:row r="2" ht="28" customHeight="1">
      <x:c r="A2" s="7" t="str">
        <x:v>每行一个断言。所有状态应为 OK；差异单位随断言而定。</x:v>
      </x:c>
      <x:c r="B2" s="7"/>
      <x:c r="C2" s="7"/>
      <x:c r="D2" s="7"/>
      <x:c r="E2" s="7"/>
      <x:c r="F2" s="7"/>
      <x:c r="G2" s="7"/>
    </x:row>
    <x:row r="5">
      <x:c r="A5" s="26" t="str">
        <x:v>断言</x:v>
      </x:c>
      <x:c r="B5" s="26" t="str">
        <x:v>实际值</x:v>
      </x:c>
      <x:c r="C5" s="26" t="str">
        <x:v>期望值</x:v>
      </x:c>
      <x:c r="D5" s="26" t="str">
        <x:v>差异</x:v>
      </x:c>
      <x:c r="E5" s="26" t="str">
        <x:v>容忍度</x:v>
      </x:c>
      <x:c r="F5" s="26" t="str">
        <x:v>状态</x:v>
      </x:c>
      <x:c r="G5" s="26" t="str">
        <x:v>说明</x:v>
      </x:c>
    </x:row>
    <x:row r="6">
      <x:c r="A6" s="32" t="str">
        <x:v>2026H1分部收入合计=总收入</x:v>
      </x:c>
      <x:c r="B6" s="199" t="n">
        <x:f>'历史财务'!B33-'历史财务'!G7</x:f>
        <x:v>0</x:v>
      </x:c>
      <x:c r="C6" s="200" t="n">
        <x:v>0</x:v>
      </x:c>
      <x:c r="D6" s="201" t="n">
        <x:f>B6-C6</x:f>
        <x:v>0</x:v>
      </x:c>
      <x:c r="E6" s="200" t="n">
        <x:v>0.01</x:v>
      </x:c>
      <x:c r="F6" s="32" t="str">
        <x:f>IF(ABS(D6)&lt;=E6,"OK","CHECK")</x:f>
        <x:v>OK</x:v>
      </x:c>
      <x:c r="G6" s="32" t="str">
        <x:v>分部表勾稽</x:v>
      </x:c>
    </x:row>
    <x:row r="7">
      <x:c r="A7" s="32" t="str">
        <x:v>2026H1分部成本合计=总成本</x:v>
      </x:c>
      <x:c r="B7" s="199" t="n">
        <x:f>'历史财务'!C33-'历史财务'!G8</x:f>
        <x:v>-0.00004458941702978336</x:v>
      </x:c>
      <x:c r="C7" s="200" t="n">
        <x:v>0</x:v>
      </x:c>
      <x:c r="D7" s="201" t="n">
        <x:f>B7-C7</x:f>
        <x:v>-0.00004458941702978336</x:v>
      </x:c>
      <x:c r="E7" s="200" t="n">
        <x:v>0.05</x:v>
      </x:c>
      <x:c r="F7" s="32" t="str">
        <x:f>IF(ABS(D7)&lt;=E7,"OK","CHECK")</x:f>
        <x:v>OK</x:v>
      </x:c>
      <x:c r="G7" s="32" t="str">
        <x:v>分部表勾稽</x:v>
      </x:c>
    </x:row>
    <x:row r="8">
      <x:c r="A8" s="32" t="str">
        <x:v>情景概率权重=100%</x:v>
      </x:c>
      <x:c r="B8" s="199" t="n">
        <x:f>'情景对比'!E5</x:f>
        <x:v>0.9999999999999999</x:v>
      </x:c>
      <x:c r="C8" s="200" t="n">
        <x:v>1</x:v>
      </x:c>
      <x:c r="D8" s="201" t="n">
        <x:f>B8-C8</x:f>
        <x:v>-1.1102230246251565e-16</x:v>
      </x:c>
      <x:c r="E8" s="200" t="n">
        <x:v>0.0001</x:v>
      </x:c>
      <x:c r="F8" s="32" t="str">
        <x:f>IF(ABS(D8)&lt;=E8,"OK","CHECK")</x:f>
        <x:v>OK</x:v>
      </x:c>
      <x:c r="G8" s="32" t="str">
        <x:v>可编辑输入</x:v>
      </x:c>
    </x:row>
    <x:row r="9">
      <x:c r="A9" s="32" t="str">
        <x:v>惠州加工权益+少数股东=100%</x:v>
      </x:c>
      <x:c r="B9" s="199" t="n">
        <x:f>'核心假设'!I39+0.90</x:f>
        <x:v>1</x:v>
      </x:c>
      <x:c r="C9" s="200" t="n">
        <x:v>1</x:v>
      </x:c>
      <x:c r="D9" s="201" t="n">
        <x:f>B9-C9</x:f>
        <x:v>0</x:v>
      </x:c>
      <x:c r="E9" s="200" t="n">
        <x:v>0.0001</x:v>
      </x:c>
      <x:c r="F9" s="32" t="str">
        <x:f>IF(ABS(D9)&lt;=E9,"OK","CHECK")</x:f>
        <x:v>OK</x:v>
      </x:c>
      <x:c r="G9" s="32" t="str">
        <x:v>官方持股90%/10%</x:v>
      </x:c>
    </x:row>
    <x:row r="10">
      <x:c r="A10" s="32" t="str">
        <x:v>广州设备权益+少数股东=100%</x:v>
      </x:c>
      <x:c r="B10" s="199" t="n">
        <x:f>'核心假设'!I40+0.51</x:f>
        <x:v>1</x:v>
      </x:c>
      <x:c r="C10" s="200" t="n">
        <x:v>1</x:v>
      </x:c>
      <x:c r="D10" s="201" t="n">
        <x:f>B10-C10</x:f>
        <x:v>0</x:v>
      </x:c>
      <x:c r="E10" s="200" t="n">
        <x:v>0.0001</x:v>
      </x:c>
      <x:c r="F10" s="32" t="str">
        <x:f>IF(ABS(D10)&lt;=E10,"OK","CHECK")</x:f>
        <x:v>OK</x:v>
      </x:c>
      <x:c r="G10" s="32" t="str">
        <x:v>官方持股51%/49%</x:v>
      </x:c>
    </x:row>
    <x:row r="11">
      <x:c r="A11" s="32" t="str">
        <x:v>长沙岱华权益+少数股东=100%</x:v>
      </x:c>
      <x:c r="B11" s="199" t="n">
        <x:f>'核心假设'!I41+0.70</x:f>
        <x:v>1</x:v>
      </x:c>
      <x:c r="C11" s="200" t="n">
        <x:v>1</x:v>
      </x:c>
      <x:c r="D11" s="201" t="n">
        <x:f>B11-C11</x:f>
        <x:v>0</x:v>
      </x:c>
      <x:c r="E11" s="200" t="n">
        <x:v>0.0001</x:v>
      </x:c>
      <x:c r="F11" s="32" t="str">
        <x:f>IF(ABS(D11)&lt;=E11,"OK","CHECK")</x:f>
        <x:v>OK</x:v>
      </x:c>
      <x:c r="G11" s="32" t="str">
        <x:v>持股70%/30%</x:v>
      </x:c>
    </x:row>
    <x:row r="12">
      <x:c r="A12" s="32" t="str">
        <x:v>2026H1消费电子及加工毛利率=35.85%</x:v>
      </x:c>
      <x:c r="B12" s="199" t="n">
        <x:f>'历史财务'!E30</x:f>
        <x:v>0.35847244013104645</x:v>
      </x:c>
      <x:c r="C12" s="200" t="n">
        <x:v>0.3585</x:v>
      </x:c>
      <x:c r="D12" s="201" t="n">
        <x:f>B12-C12</x:f>
        <x:v>-0.000027559868953530575</x:v>
      </x:c>
      <x:c r="E12" s="200" t="n">
        <x:v>0.0002</x:v>
      </x:c>
      <x:c r="F12" s="32" t="str">
        <x:f>IF(ABS(D12)&lt;=E12,"OK","CHECK")</x:f>
        <x:v>OK</x:v>
      </x:c>
      <x:c r="G12" s="32" t="str">
        <x:v>年报分部口径</x:v>
      </x:c>
    </x:row>
    <x:row r="13">
      <x:c r="A13" s="32" t="str">
        <x:v>2026基准加工收入=网页且低于150</x:v>
      </x:c>
      <x:c r="B13" s="199" t="n">
        <x:f>'分部预测'!B56</x:f>
        <x:v>98.35350000000001</x:v>
      </x:c>
      <x:c r="C13" s="200" t="n">
        <x:v>98.35350000000001</x:v>
      </x:c>
      <x:c r="D13" s="201" t="n">
        <x:f>B13-C13</x:f>
        <x:v>0</x:v>
      </x:c>
      <x:c r="E13" s="200" t="n">
        <x:v>0.000001</x:v>
      </x:c>
      <x:c r="F13" s="32" t="str">
        <x:f>IF(ABS(D13)&lt;=E13,"OK","CHECK")</x:f>
        <x:v>OK</x:v>
      </x:c>
      <x:c r="G13" s="32" t="str">
        <x:v>网页核心输出</x:v>
      </x:c>
    </x:row>
    <x:row r="14">
      <x:c r="A14" s="32" t="str">
        <x:v>2027基准加工收入=网页</x:v>
      </x:c>
      <x:c r="B14" s="199" t="n">
        <x:f>'分部预测'!C56</x:f>
        <x:v>655.1999999999999</x:v>
      </x:c>
      <x:c r="C14" s="200" t="n">
        <x:v>655.1999999999999</x:v>
      </x:c>
      <x:c r="D14" s="201" t="n">
        <x:f>B14-C14</x:f>
        <x:v>0</x:v>
      </x:c>
      <x:c r="E14" s="200" t="n">
        <x:v>0.000001</x:v>
      </x:c>
      <x:c r="F14" s="32" t="str">
        <x:f>IF(ABS(D14)&lt;=E14,"OK","CHECK")</x:f>
        <x:v>OK</x:v>
      </x:c>
      <x:c r="G14" s="32" t="str">
        <x:v>网页核心输出</x:v>
      </x:c>
    </x:row>
    <x:row r="15">
      <x:c r="A15" s="32" t="str">
        <x:v>2027基准营业收入=网页</x:v>
      </x:c>
      <x:c r="B15" s="199" t="n">
        <x:f>'分部预测'!C63</x:f>
        <x:v>2864.34</x:v>
      </x:c>
      <x:c r="C15" s="200" t="n">
        <x:v>2864.3399999999997</x:v>
      </x:c>
      <x:c r="D15" s="201" t="n">
        <x:f>B15-C15</x:f>
        <x:v>4.547473508864641e-13</x:v>
      </x:c>
      <x:c r="E15" s="200" t="n">
        <x:v>0.000001</x:v>
      </x:c>
      <x:c r="F15" s="32" t="str">
        <x:f>IF(ABS(D15)&lt;=E15,"OK","CHECK")</x:f>
        <x:v>OK</x:v>
      </x:c>
      <x:c r="G15" s="32" t="str">
        <x:v>网页核心输出</x:v>
      </x:c>
    </x:row>
    <x:row r="16">
      <x:c r="A16" s="32" t="str">
        <x:v>2027基准归母净利润=网页</x:v>
      </x:c>
      <x:c r="B16" s="199" t="n">
        <x:f>'分部预测'!C92</x:f>
        <x:v>371.6478719999999</x:v>
      </x:c>
      <x:c r="C16" s="200" t="n">
        <x:v>371.647872</x:v>
      </x:c>
      <x:c r="D16" s="201" t="n">
        <x:f>B16-C16</x:f>
        <x:v>-1.1368683772161603e-13</x:v>
      </x:c>
      <x:c r="E16" s="200" t="n">
        <x:v>0.000001</x:v>
      </x:c>
      <x:c r="F16" s="32" t="str">
        <x:f>IF(ABS(D16)&lt;=E16,"OK","CHECK")</x:f>
        <x:v>OK</x:v>
      </x:c>
      <x:c r="G16" s="32" t="str">
        <x:v>网页核心输出</x:v>
      </x:c>
    </x:row>
    <x:row r="17">
      <x:c r="A17" s="32" t="str">
        <x:v>2027基准设备收入=网页（1,200百万元）</x:v>
      </x:c>
      <x:c r="B17" s="199" t="n">
        <x:f>'分部预测'!C60</x:f>
        <x:v>1200</x:v>
      </x:c>
      <x:c r="C17" s="200" t="n">
        <x:v>1200</x:v>
      </x:c>
      <x:c r="D17" s="201" t="n">
        <x:f>B17-C17</x:f>
        <x:v>0</x:v>
      </x:c>
      <x:c r="E17" s="200" t="n">
        <x:v>0.000001</x:v>
      </x:c>
      <x:c r="F17" s="32" t="str">
        <x:f>IF(ABS(D17)&lt;=E17,"OK","CHECK")</x:f>
        <x:v>OK</x:v>
      </x:c>
      <x:c r="G17" s="32" t="str">
        <x:v>网页核心输出</x:v>
      </x:c>
    </x:row>
    <x:row r="18">
      <x:c r="A18" s="32" t="str">
        <x:v>敏感性25%/50%=网页基准</x:v>
      </x:c>
      <x:c r="B18" s="199" t="n">
        <x:f>'敏感性'!G11</x:f>
        <x:v>371.6478719999999</x:v>
      </x:c>
      <x:c r="C18" s="200" t="n">
        <x:v>371.647872</x:v>
      </x:c>
      <x:c r="D18" s="201" t="n">
        <x:f>B18-C18</x:f>
        <x:v>-1.1368683772161603e-13</x:v>
      </x:c>
      <x:c r="E18" s="200" t="n">
        <x:v>0.000001</x:v>
      </x:c>
      <x:c r="F18" s="32" t="str">
        <x:f>IF(ABS(D18)&lt;=E18,"OK","CHECK")</x:f>
        <x:v>OK</x:v>
      </x:c>
      <x:c r="G18" s="32" t="str">
        <x:v>完整重算收入、毛利、税与少数股东</x:v>
      </x:c>
    </x:row>
    <x:row r="19">
      <x:c r="A19" s="32" t="str">
        <x:v>分部归母利润合计=网页归母</x:v>
      </x:c>
      <x:c r="B19" s="199" t="n">
        <x:f>'分部估值'!B11</x:f>
        <x:v>371.6478719999999</x:v>
      </x:c>
      <x:c r="C19" s="200" t="n">
        <x:v>371.647872</x:v>
      </x:c>
      <x:c r="D19" s="201" t="n">
        <x:f>B19-C19</x:f>
        <x:v>-1.1368683772161603e-13</x:v>
      </x:c>
      <x:c r="E19" s="200" t="n">
        <x:v>0.000001</x:v>
      </x:c>
      <x:c r="F19" s="32" t="str">
        <x:f>IF(ABS(D19)&lt;=E19,"OK","CHECK")</x:f>
        <x:v>OK</x:v>
      </x:c>
      <x:c r="G19" s="32" t="str">
        <x:v>估值利润桥</x:v>
      </x:c>
    </x:row>
    <x:row r="20">
      <x:c r="A20" s="32" t="str">
        <x:v>分部估值现值=网页</x:v>
      </x:c>
      <x:c r="B20" s="199" t="n">
        <x:f>'分部估值'!G11</x:f>
        <x:v>12708.854690909087</x:v>
      </x:c>
      <x:c r="C20" s="200" t="n">
        <x:v>12708.854690909087</x:v>
      </x:c>
      <x:c r="D20" s="201" t="n">
        <x:f>B20-C20</x:f>
        <x:v>0</x:v>
      </x:c>
      <x:c r="E20" s="200" t="n">
        <x:v>0.000001</x:v>
      </x:c>
      <x:c r="F20" s="32" t="str">
        <x:f>IF(ABS(D20)&lt;=E20,"OK","CHECK")</x:f>
        <x:v>OK</x:v>
      </x:c>
      <x:c r="G20" s="32" t="str">
        <x:v>网页分部估值模块</x:v>
      </x:c>
    </x:row>
    <x:row r="21">
      <x:c r="A21" s="32" t="str">
        <x:v>远期期权现值=网页</x:v>
      </x:c>
      <x:c r="B21" s="199" t="n">
        <x:f>'增长点与期权'!K39</x:f>
        <x:v>1452.7821155584782</x:v>
      </x:c>
      <x:c r="C21" s="200" t="n">
        <x:v>1452.7821155584782</x:v>
      </x:c>
      <x:c r="D21" s="201" t="n">
        <x:f>B21-C21</x:f>
        <x:v>0</x:v>
      </x:c>
      <x:c r="E21" s="200" t="n">
        <x:v>0.000001</x:v>
      </x:c>
      <x:c r="F21" s="32" t="str">
        <x:f>IF(ABS(D21)&lt;=E21,"OK","CHECK")</x:f>
        <x:v>OK</x:v>
      </x:c>
      <x:c r="G21" s="32" t="str">
        <x:v>网页期权估值模块</x:v>
      </x:c>
    </x:row>
    <x:row r="22">
      <x:c r="A22" s="32" t="str">
        <x:v>远期期权每股价值=网页</x:v>
      </x:c>
      <x:c r="B22" s="199" t="n">
        <x:f>'增长点与期权'!B45</x:f>
        <x:v>3.6591351342733076</x:v>
      </x:c>
      <x:c r="C22" s="200" t="n">
        <x:v>3.6591351342733076</x:v>
      </x:c>
      <x:c r="D22" s="201" t="n">
        <x:f>B22-C22</x:f>
        <x:v>0</x:v>
      </x:c>
      <x:c r="E22" s="200" t="n">
        <x:v>0.000001</x:v>
      </x:c>
      <x:c r="F22" s="32" t="str">
        <x:f>IF(ABS(D22)&lt;=E22,"OK","CHECK")</x:f>
        <x:v>OK</x:v>
      </x:c>
      <x:c r="G22" s="32" t="str">
        <x:v>网页期权现值/2027E总股本</x:v>
      </x:c>
    </x:row>
    <x:row r="23">
      <x:c r="A23" s="32" t="str">
        <x:v>核心+期权每股价值=网页</x:v>
      </x:c>
      <x:c r="B23" s="199" t="n">
        <x:f>'增长点与期权'!B46</x:f>
        <x:v>35.66903959128319</x:v>
      </x:c>
      <x:c r="C23" s="200" t="n">
        <x:v>35.66903959128319</x:v>
      </x:c>
      <x:c r="D23" s="201" t="n">
        <x:f>B23-C23</x:f>
        <x:v>0</x:v>
      </x:c>
      <x:c r="E23" s="200" t="n">
        <x:v>0.000001</x:v>
      </x:c>
      <x:c r="F23" s="32" t="str">
        <x:f>IF(ABS(D23)&lt;=E23,"OK","CHECK")</x:f>
        <x:v>OK</x:v>
      </x:c>
      <x:c r="G23" s="32" t="str">
        <x:v>主业隐含价格+期权每股价值</x:v>
      </x:c>
    </x:row>
    <x:row r="24">
      <x:c r="A24" s="32" t="str">
        <x:v>网页核心输出全部OK</x:v>
      </x:c>
      <x:c r="B24" s="199" t="n">
        <x:f>COUNTIF('网页同步核对'!U6:U20,"CHECK")</x:f>
        <x:v>0</x:v>
      </x:c>
      <x:c r="C24" s="200" t="n">
        <x:v>0</x:v>
      </x:c>
      <x:c r="D24" s="201" t="n">
        <x:f>B24-C24</x:f>
        <x:v>0</x:v>
      </x:c>
      <x:c r="E24" s="200" t="n">
        <x:v>0</x:v>
      </x:c>
      <x:c r="F24" s="32" t="str">
        <x:f>IF(ABS(D24)&lt;=E24,"OK","CHECK")</x:f>
        <x:v>OK</x:v>
      </x:c>
      <x:c r="G24" s="32" t="str">
        <x:v>三情景×五年核心输出</x:v>
      </x:c>
    </x:row>
    <x:row r="25">
      <x:c r="A25" s="32" t="str">
        <x:v>网页全部假设全部OK</x:v>
      </x:c>
      <x:c r="B25" s="199" t="n">
        <x:f>COUNTIF('网页同步核对'!N26:N118,"CHECK")</x:f>
        <x:v>0</x:v>
      </x:c>
      <x:c r="C25" s="200" t="n">
        <x:v>0</x:v>
      </x:c>
      <x:c r="D25" s="201" t="n">
        <x:f>B25-C25</x:f>
        <x:v>0</x:v>
      </x:c>
      <x:c r="E25" s="200" t="n">
        <x:v>0</x:v>
      </x:c>
      <x:c r="F25" s="32" t="str">
        <x:f>IF(ABS(D25)&lt;=E25,"OK","CHECK")</x:f>
        <x:v>OK</x:v>
      </x:c>
      <x:c r="G25" s="32" t="str">
        <x:v>三情景×全部假设×五年</x:v>
      </x:c>
    </x:row>
    <x:row r="26">
      <x:c r="A26" s="32" t="str">
        <x:v>网页研究数据模块全部OK</x:v>
      </x:c>
      <x:c r="B26" s="199" t="n">
        <x:f>COUNTIF('网页同步核对'!E122:E134,"CHECK")</x:f>
        <x:v>0</x:v>
      </x:c>
      <x:c r="C26" s="200" t="n">
        <x:v>0</x:v>
      </x:c>
      <x:c r="D26" s="201" t="n">
        <x:f>B26-C26</x:f>
        <x:v>0</x:v>
      </x:c>
      <x:c r="E26" s="200" t="n">
        <x:v>0</x:v>
      </x:c>
      <x:c r="F26" s="32" t="str">
        <x:f>IF(ABS(D26)&lt;=E26,"OK","CHECK")</x:f>
        <x:v>OK</x:v>
      </x:c>
      <x:c r="G26" s="32" t="str">
        <x:v>13个研究数据模块完整载入</x:v>
      </x:c>
    </x:row>
    <x:row r="27">
      <x:c r="A27" s="32" t="str">
        <x:v>机器人2026首装价值池=网页</x:v>
      </x:c>
      <x:c r="B27" s="199" t="n">
        <x:f>'增长点与期权'!E6</x:f>
        <x:v>80</x:v>
      </x:c>
      <x:c r="C27" s="200" t="n">
        <x:v>80</x:v>
      </x:c>
      <x:c r="D27" s="201" t="n">
        <x:f>B27-C27</x:f>
        <x:v>0</x:v>
      </x:c>
      <x:c r="E27" s="200" t="n">
        <x:v>0.000001</x:v>
      </x:c>
      <x:c r="F27" s="32" t="str">
        <x:f>IF(ABS(D27)&lt;=E27,"OK","CHECK")</x:f>
        <x:v>OK</x:v>
      </x:c>
      <x:c r="G27" s="32" t="str">
        <x:v>出货×渗透×首装价值/1000</x:v>
      </x:c>
    </x:row>
    <x:row r="28">
      <x:c r="A28" s="32" t="str">
        <x:v>机器人2026换绳价值池=网页</x:v>
      </x:c>
      <x:c r="B28" s="199" t="n">
        <x:f>'增长点与期权'!I6</x:f>
        <x:v>0</x:v>
      </x:c>
      <x:c r="C28" s="200" t="n">
        <x:v>0</x:v>
      </x:c>
      <x:c r="D28" s="201" t="n">
        <x:f>B28-C28</x:f>
        <x:v>0</x:v>
      </x:c>
      <x:c r="E28" s="200" t="n">
        <x:v>0.000001</x:v>
      </x:c>
      <x:c r="F28" s="32" t="str">
        <x:f>IF(ABS(D28)&lt;=E28,"OK","CHECK")</x:f>
        <x:v>OK</x:v>
      </x:c>
      <x:c r="G28" s="32" t="str">
        <x:v>可用存量×频次×换绳价值/1000</x:v>
      </x:c>
    </x:row>
    <x:row r="29">
      <x:c r="A29" s="32" t="str">
        <x:v>机器人2026行业价值池=网页</x:v>
      </x:c>
      <x:c r="B29" s="199" t="n">
        <x:f>'增长点与期权'!J6</x:f>
        <x:v>80</x:v>
      </x:c>
      <x:c r="C29" s="200" t="n">
        <x:v>80</x:v>
      </x:c>
      <x:c r="D29" s="201" t="n">
        <x:f>B29-C29</x:f>
        <x:v>0</x:v>
      </x:c>
      <x:c r="E29" s="200" t="n">
        <x:v>0.000001</x:v>
      </x:c>
      <x:c r="F29" s="32" t="str">
        <x:f>IF(ABS(D29)&lt;=E29,"OK","CHECK")</x:f>
        <x:v>OK</x:v>
      </x:c>
      <x:c r="G29" s="32" t="str">
        <x:v>首装+换绳</x:v>
      </x:c>
    </x:row>
    <x:row r="30">
      <x:c r="A30" s="32" t="str">
        <x:v>机器人2026可触及收入=网页</x:v>
      </x:c>
      <x:c r="B30" s="199" t="n">
        <x:f>'增长点与期权'!L6</x:f>
        <x:v>8</x:v>
      </x:c>
      <x:c r="C30" s="200" t="n">
        <x:v>8</x:v>
      </x:c>
      <x:c r="D30" s="201" t="n">
        <x:f>B30-C30</x:f>
        <x:v>0</x:v>
      </x:c>
      <x:c r="E30" s="200" t="n">
        <x:v>0.000001</x:v>
      </x:c>
      <x:c r="F30" s="32" t="str">
        <x:f>IF(ABS(D30)&lt;=E30,"OK","CHECK")</x:f>
        <x:v>OK</x:v>
      </x:c>
      <x:c r="G30" s="32" t="str">
        <x:v>行业价值池×可触及份额</x:v>
      </x:c>
    </x:row>
    <x:row r="31">
      <x:c r="A31" s="32" t="str">
        <x:v>机器人2027首装价值池=网页</x:v>
      </x:c>
      <x:c r="B31" s="199" t="n">
        <x:f>'增长点与期权'!E7</x:f>
        <x:v>661.2</x:v>
      </x:c>
      <x:c r="C31" s="200" t="n">
        <x:v>661.2</x:v>
      </x:c>
      <x:c r="D31" s="201" t="n">
        <x:f>B31-C31</x:f>
        <x:v>0</x:v>
      </x:c>
      <x:c r="E31" s="200" t="n">
        <x:v>0.000001</x:v>
      </x:c>
      <x:c r="F31" s="32" t="str">
        <x:f>IF(ABS(D31)&lt;=E31,"OK","CHECK")</x:f>
        <x:v>OK</x:v>
      </x:c>
      <x:c r="G31" s="32" t="str">
        <x:v>出货×渗透×首装价值/1000</x:v>
      </x:c>
    </x:row>
    <x:row r="32">
      <x:c r="A32" s="32" t="str">
        <x:v>机器人2027换绳价值池=网页</x:v>
      </x:c>
      <x:c r="B32" s="199" t="n">
        <x:f>'增长点与期权'!I7</x:f>
        <x:v>31</x:v>
      </x:c>
      <x:c r="C32" s="200" t="n">
        <x:v>31</x:v>
      </x:c>
      <x:c r="D32" s="201" t="n">
        <x:f>B32-C32</x:f>
        <x:v>0</x:v>
      </x:c>
      <x:c r="E32" s="200" t="n">
        <x:v>0.000001</x:v>
      </x:c>
      <x:c r="F32" s="32" t="str">
        <x:f>IF(ABS(D32)&lt;=E32,"OK","CHECK")</x:f>
        <x:v>OK</x:v>
      </x:c>
      <x:c r="G32" s="32" t="str">
        <x:v>可用存量×频次×换绳价值/1000</x:v>
      </x:c>
    </x:row>
    <x:row r="33">
      <x:c r="A33" s="32" t="str">
        <x:v>机器人2027行业价值池=网页</x:v>
      </x:c>
      <x:c r="B33" s="199" t="n">
        <x:f>'增长点与期权'!J7</x:f>
        <x:v>692.2</x:v>
      </x:c>
      <x:c r="C33" s="200" t="n">
        <x:v>692.2</x:v>
      </x:c>
      <x:c r="D33" s="201" t="n">
        <x:f>B33-C33</x:f>
        <x:v>0</x:v>
      </x:c>
      <x:c r="E33" s="200" t="n">
        <x:v>0.000001</x:v>
      </x:c>
      <x:c r="F33" s="32" t="str">
        <x:f>IF(ABS(D33)&lt;=E33,"OK","CHECK")</x:f>
        <x:v>OK</x:v>
      </x:c>
      <x:c r="G33" s="32" t="str">
        <x:v>首装+换绳</x:v>
      </x:c>
    </x:row>
    <x:row r="34">
      <x:c r="A34" s="32" t="str">
        <x:v>机器人2027可触及收入=网页</x:v>
      </x:c>
      <x:c r="B34" s="199" t="n">
        <x:f>'增长点与期权'!L7</x:f>
        <x:v>103.83</x:v>
      </x:c>
      <x:c r="C34" s="200" t="n">
        <x:v>103.83</x:v>
      </x:c>
      <x:c r="D34" s="201" t="n">
        <x:f>B34-C34</x:f>
        <x:v>0</x:v>
      </x:c>
      <x:c r="E34" s="200" t="n">
        <x:v>0.000001</x:v>
      </x:c>
      <x:c r="F34" s="32" t="str">
        <x:f>IF(ABS(D34)&lt;=E34,"OK","CHECK")</x:f>
        <x:v>OK</x:v>
      </x:c>
      <x:c r="G34" s="32" t="str">
        <x:v>行业价值池×可触及份额</x:v>
      </x:c>
    </x:row>
    <x:row r="35">
      <x:c r="A35" s="32" t="str">
        <x:v>机器人2028首装价值池=网页</x:v>
      </x:c>
      <x:c r="B35" s="199" t="n">
        <x:f>'增长点与期权'!E8</x:f>
        <x:v>1440</x:v>
      </x:c>
      <x:c r="C35" s="200" t="n">
        <x:v>1440</x:v>
      </x:c>
      <x:c r="D35" s="201" t="n">
        <x:f>B35-C35</x:f>
        <x:v>0</x:v>
      </x:c>
      <x:c r="E35" s="200" t="n">
        <x:v>0.000001</x:v>
      </x:c>
      <x:c r="F35" s="32" t="str">
        <x:f>IF(ABS(D35)&lt;=E35,"OK","CHECK")</x:f>
        <x:v>OK</x:v>
      </x:c>
      <x:c r="G35" s="32" t="str">
        <x:v>出货×渗透×首装价值/1000</x:v>
      </x:c>
    </x:row>
    <x:row r="36">
      <x:c r="A36" s="32" t="str">
        <x:v>机器人2028换绳价值池=网页</x:v>
      </x:c>
      <x:c r="B36" s="199" t="n">
        <x:f>'增长点与期权'!I8</x:f>
        <x:v>450.08000000000004</x:v>
      </x:c>
      <x:c r="C36" s="200" t="n">
        <x:v>450.08</x:v>
      </x:c>
      <x:c r="D36" s="201" t="n">
        <x:f>B36-C36</x:f>
        <x:v>5.684341886080802e-14</x:v>
      </x:c>
      <x:c r="E36" s="200" t="n">
        <x:v>0.000001</x:v>
      </x:c>
      <x:c r="F36" s="32" t="str">
        <x:f>IF(ABS(D36)&lt;=E36,"OK","CHECK")</x:f>
        <x:v>OK</x:v>
      </x:c>
      <x:c r="G36" s="32" t="str">
        <x:v>可用存量×频次×换绳价值/1000</x:v>
      </x:c>
    </x:row>
    <x:row r="37">
      <x:c r="A37" s="32" t="str">
        <x:v>机器人2028行业价值池=网页</x:v>
      </x:c>
      <x:c r="B37" s="199" t="n">
        <x:f>'增长点与期权'!J8</x:f>
        <x:v>1890.08</x:v>
      </x:c>
      <x:c r="C37" s="200" t="n">
        <x:v>1890.08</x:v>
      </x:c>
      <x:c r="D37" s="201" t="n">
        <x:f>B37-C37</x:f>
        <x:v>0</x:v>
      </x:c>
      <x:c r="E37" s="200" t="n">
        <x:v>0.000001</x:v>
      </x:c>
      <x:c r="F37" s="32" t="str">
        <x:f>IF(ABS(D37)&lt;=E37,"OK","CHECK")</x:f>
        <x:v>OK</x:v>
      </x:c>
      <x:c r="G37" s="32" t="str">
        <x:v>首装+换绳</x:v>
      </x:c>
    </x:row>
    <x:row r="38">
      <x:c r="A38" s="32" t="str">
        <x:v>机器人2028可触及收入=网页</x:v>
      </x:c>
      <x:c r="B38" s="199" t="n">
        <x:f>'增长点与期权'!L8</x:f>
        <x:v>340.21439999999996</x:v>
      </x:c>
      <x:c r="C38" s="200" t="n">
        <x:v>340.2144</x:v>
      </x:c>
      <x:c r="D38" s="201" t="n">
        <x:f>B38-C38</x:f>
        <x:v>-5.684341886080802e-14</x:v>
      </x:c>
      <x:c r="E38" s="200" t="n">
        <x:v>0.000001</x:v>
      </x:c>
      <x:c r="F38" s="32" t="str">
        <x:f>IF(ABS(D38)&lt;=E38,"OK","CHECK")</x:f>
        <x:v>OK</x:v>
      </x:c>
      <x:c r="G38" s="32" t="str">
        <x:v>行业价值池×可触及份额</x:v>
      </x:c>
    </x:row>
    <x:row r="39">
      <x:c r="A39" s="32" t="str">
        <x:v>机器人2029首装价值池=网页</x:v>
      </x:c>
      <x:c r="B39" s="199" t="n">
        <x:f>'增长点与期权'!E9</x:f>
        <x:v>2720</x:v>
      </x:c>
      <x:c r="C39" s="200" t="n">
        <x:v>2720</x:v>
      </x:c>
      <x:c r="D39" s="201" t="n">
        <x:f>B39-C39</x:f>
        <x:v>0</x:v>
      </x:c>
      <x:c r="E39" s="200" t="n">
        <x:v>0.000001</x:v>
      </x:c>
      <x:c r="F39" s="32" t="str">
        <x:f>IF(ABS(D39)&lt;=E39,"OK","CHECK")</x:f>
        <x:v>OK</x:v>
      </x:c>
      <x:c r="G39" s="32" t="str">
        <x:v>出货×渗透×首装价值/1000</x:v>
      </x:c>
    </x:row>
    <x:row r="40">
      <x:c r="A40" s="32" t="str">
        <x:v>机器人2029换绳价值池=网页</x:v>
      </x:c>
      <x:c r="B40" s="199" t="n">
        <x:f>'增长点与期权'!I9</x:f>
        <x:v>1603.8</x:v>
      </x:c>
      <x:c r="C40" s="200" t="n">
        <x:v>1603.8</x:v>
      </x:c>
      <x:c r="D40" s="201" t="n">
        <x:f>B40-C40</x:f>
        <x:v>0</x:v>
      </x:c>
      <x:c r="E40" s="200" t="n">
        <x:v>0.000001</x:v>
      </x:c>
      <x:c r="F40" s="32" t="str">
        <x:f>IF(ABS(D40)&lt;=E40,"OK","CHECK")</x:f>
        <x:v>OK</x:v>
      </x:c>
      <x:c r="G40" s="32" t="str">
        <x:v>可用存量×频次×换绳价值/1000</x:v>
      </x:c>
    </x:row>
    <x:row r="41">
      <x:c r="A41" s="32" t="str">
        <x:v>机器人2029行业价值池=网页</x:v>
      </x:c>
      <x:c r="B41" s="199" t="n">
        <x:f>'增长点与期权'!J9</x:f>
        <x:v>4323.8</x:v>
      </x:c>
      <x:c r="C41" s="200" t="n">
        <x:v>4323.8</x:v>
      </x:c>
      <x:c r="D41" s="201" t="n">
        <x:f>B41-C41</x:f>
        <x:v>0</x:v>
      </x:c>
      <x:c r="E41" s="200" t="n">
        <x:v>0.000001</x:v>
      </x:c>
      <x:c r="F41" s="32" t="str">
        <x:f>IF(ABS(D41)&lt;=E41,"OK","CHECK")</x:f>
        <x:v>OK</x:v>
      </x:c>
      <x:c r="G41" s="32" t="str">
        <x:v>首装+换绳</x:v>
      </x:c>
    </x:row>
    <x:row r="42">
      <x:c r="A42" s="32" t="str">
        <x:v>机器人2029可触及收入=网页</x:v>
      </x:c>
      <x:c r="B42" s="199" t="n">
        <x:f>'增长点与期权'!L9</x:f>
        <x:v>864.7600000000001</x:v>
      </x:c>
      <x:c r="C42" s="200" t="n">
        <x:v>864.76</x:v>
      </x:c>
      <x:c r="D42" s="201" t="n">
        <x:f>B42-C42</x:f>
        <x:v>1.1368683772161603e-13</x:v>
      </x:c>
      <x:c r="E42" s="200" t="n">
        <x:v>0.000001</x:v>
      </x:c>
      <x:c r="F42" s="32" t="str">
        <x:f>IF(ABS(D42)&lt;=E42,"OK","CHECK")</x:f>
        <x:v>OK</x:v>
      </x:c>
      <x:c r="G42" s="32" t="str">
        <x:v>行业价值池×可触及份额</x:v>
      </x:c>
    </x:row>
    <x:row r="43">
      <x:c r="A43" s="32" t="str">
        <x:v>机器人2030首装价值池=网页</x:v>
      </x:c>
      <x:c r="B43" s="199" t="n">
        <x:f>'增长点与期权'!E10</x:f>
        <x:v>4224</x:v>
      </x:c>
      <x:c r="C43" s="200" t="n">
        <x:v>4224</x:v>
      </x:c>
      <x:c r="D43" s="201" t="n">
        <x:f>B43-C43</x:f>
        <x:v>0</x:v>
      </x:c>
      <x:c r="E43" s="200" t="n">
        <x:v>0.000001</x:v>
      </x:c>
      <x:c r="F43" s="32" t="str">
        <x:f>IF(ABS(D43)&lt;=E43,"OK","CHECK")</x:f>
        <x:v>OK</x:v>
      </x:c>
      <x:c r="G43" s="32" t="str">
        <x:v>出货×渗透×首装价值/1000</x:v>
      </x:c>
    </x:row>
    <x:row r="44">
      <x:c r="A44" s="32" t="str">
        <x:v>机器人2030换绳价值池=网页</x:v>
      </x:c>
      <x:c r="B44" s="199" t="n">
        <x:f>'增长点与期权'!I10</x:f>
        <x:v>4182</x:v>
      </x:c>
      <x:c r="C44" s="200" t="n">
        <x:v>4182</x:v>
      </x:c>
      <x:c r="D44" s="201" t="n">
        <x:f>B44-C44</x:f>
        <x:v>0</x:v>
      </x:c>
      <x:c r="E44" s="200" t="n">
        <x:v>0.000001</x:v>
      </x:c>
      <x:c r="F44" s="32" t="str">
        <x:f>IF(ABS(D44)&lt;=E44,"OK","CHECK")</x:f>
        <x:v>OK</x:v>
      </x:c>
      <x:c r="G44" s="32" t="str">
        <x:v>可用存量×频次×换绳价值/1000</x:v>
      </x:c>
    </x:row>
    <x:row r="45">
      <x:c r="A45" s="32" t="str">
        <x:v>机器人2030行业价值池=网页</x:v>
      </x:c>
      <x:c r="B45" s="199" t="n">
        <x:f>'增长点与期权'!J10</x:f>
        <x:v>8406</x:v>
      </x:c>
      <x:c r="C45" s="200" t="n">
        <x:v>8406</x:v>
      </x:c>
      <x:c r="D45" s="201" t="n">
        <x:f>B45-C45</x:f>
        <x:v>0</x:v>
      </x:c>
      <x:c r="E45" s="200" t="n">
        <x:v>0.000001</x:v>
      </x:c>
      <x:c r="F45" s="32" t="str">
        <x:f>IF(ABS(D45)&lt;=E45,"OK","CHECK")</x:f>
        <x:v>OK</x:v>
      </x:c>
      <x:c r="G45" s="32" t="str">
        <x:v>首装+换绳</x:v>
      </x:c>
    </x:row>
    <x:row r="46">
      <x:c r="A46" s="32" t="str">
        <x:v>机器人2030可触及收入=网页</x:v>
      </x:c>
      <x:c r="B46" s="199" t="n">
        <x:f>'增长点与期权'!L10</x:f>
        <x:v>2101.5</x:v>
      </x:c>
      <x:c r="C46" s="200" t="n">
        <x:v>2101.5</x:v>
      </x:c>
      <x:c r="D46" s="201" t="n">
        <x:f>B46-C46</x:f>
        <x:v>0</x:v>
      </x:c>
      <x:c r="E46" s="200" t="n">
        <x:v>0.000001</x:v>
      </x:c>
      <x:c r="F46" s="32" t="str">
        <x:f>IF(ABS(D46)&lt;=E46,"OK","CHECK")</x:f>
        <x:v>OK</x:v>
      </x:c>
      <x:c r="G46" s="32" t="str">
        <x:v>行业价值池×可触及份额</x:v>
      </x:c>
    </x:row>
    <x:row r="47">
      <x:c r="A47" s="32" t="str">
        <x:v>玻璃基板2026切割价值池=网页</x:v>
      </x:c>
      <x:c r="B47" s="199" t="n">
        <x:f>'增长点与期权'!D16</x:f>
        <x:v>10</x:v>
      </x:c>
      <x:c r="C47" s="200" t="n">
        <x:v>10</x:v>
      </x:c>
      <x:c r="D47" s="201" t="n">
        <x:f>B47-C47</x:f>
        <x:v>0</x:v>
      </x:c>
      <x:c r="E47" s="200" t="n">
        <x:v>0.000001</x:v>
      </x:c>
      <x:c r="F47" s="32" t="str">
        <x:f>IF(ABS(D47)&lt;=E47,"OK","CHECK")</x:f>
        <x:v>OK</x:v>
      </x:c>
      <x:c r="G47" s="32" t="str">
        <x:v>投料×切割单价/1000</x:v>
      </x:c>
    </x:row>
    <x:row r="48">
      <x:c r="A48" s="32" t="str">
        <x:v>玻璃基板2026耗材价值池=网页</x:v>
      </x:c>
      <x:c r="B48" s="199" t="n">
        <x:f>'增长点与期权'!F16</x:f>
        <x:v>7</x:v>
      </x:c>
      <x:c r="C48" s="200" t="n">
        <x:v>7</x:v>
      </x:c>
      <x:c r="D48" s="201" t="n">
        <x:f>B48-C48</x:f>
        <x:v>0</x:v>
      </x:c>
      <x:c r="E48" s="200" t="n">
        <x:v>0.000001</x:v>
      </x:c>
      <x:c r="F48" s="32" t="str">
        <x:f>IF(ABS(D48)&lt;=E48,"OK","CHECK")</x:f>
        <x:v>OK</x:v>
      </x:c>
      <x:c r="G48" s="32" t="str">
        <x:v>投料×耗材单价/1000</x:v>
      </x:c>
    </x:row>
    <x:row r="49">
      <x:c r="A49" s="32" t="str">
        <x:v>玻璃基板2026行业价值池=网页</x:v>
      </x:c>
      <x:c r="B49" s="199" t="n">
        <x:f>'增长点与期权'!G16</x:f>
        <x:v>17</x:v>
      </x:c>
      <x:c r="C49" s="200" t="n">
        <x:v>17</x:v>
      </x:c>
      <x:c r="D49" s="201" t="n">
        <x:f>B49-C49</x:f>
        <x:v>0</x:v>
      </x:c>
      <x:c r="E49" s="200" t="n">
        <x:v>0.000001</x:v>
      </x:c>
      <x:c r="F49" s="32" t="str">
        <x:f>IF(ABS(D49)&lt;=E49,"OK","CHECK")</x:f>
        <x:v>OK</x:v>
      </x:c>
      <x:c r="G49" s="32" t="str">
        <x:v>切割+耗材</x:v>
      </x:c>
    </x:row>
    <x:row r="50">
      <x:c r="A50" s="32" t="str">
        <x:v>玻璃基板2026可触及收入=网页</x:v>
      </x:c>
      <x:c r="B50" s="199" t="n">
        <x:f>'增长点与期权'!I16</x:f>
        <x:v>0.34</x:v>
      </x:c>
      <x:c r="C50" s="200" t="n">
        <x:v>0.34</x:v>
      </x:c>
      <x:c r="D50" s="201" t="n">
        <x:f>B50-C50</x:f>
        <x:v>0</x:v>
      </x:c>
      <x:c r="E50" s="200" t="n">
        <x:v>0.000001</x:v>
      </x:c>
      <x:c r="F50" s="32" t="str">
        <x:f>IF(ABS(D50)&lt;=E50,"OK","CHECK")</x:f>
        <x:v>OK</x:v>
      </x:c>
      <x:c r="G50" s="32" t="str">
        <x:v>行业价值池×可触及份额</x:v>
      </x:c>
    </x:row>
    <x:row r="51">
      <x:c r="A51" s="32" t="str">
        <x:v>玻璃基板2027切割价值池=网页</x:v>
      </x:c>
      <x:c r="B51" s="199" t="n">
        <x:f>'增长点与期权'!D17</x:f>
        <x:v>28.5</x:v>
      </x:c>
      <x:c r="C51" s="200" t="n">
        <x:v>28.5</x:v>
      </x:c>
      <x:c r="D51" s="201" t="n">
        <x:f>B51-C51</x:f>
        <x:v>0</x:v>
      </x:c>
      <x:c r="E51" s="200" t="n">
        <x:v>0.000001</x:v>
      </x:c>
      <x:c r="F51" s="32" t="str">
        <x:f>IF(ABS(D51)&lt;=E51,"OK","CHECK")</x:f>
        <x:v>OK</x:v>
      </x:c>
      <x:c r="G51" s="32" t="str">
        <x:v>投料×切割单价/1000</x:v>
      </x:c>
    </x:row>
    <x:row r="52">
      <x:c r="A52" s="32" t="str">
        <x:v>玻璃基板2027耗材价值池=网页</x:v>
      </x:c>
      <x:c r="B52" s="199" t="n">
        <x:f>'增长点与期权'!F17</x:f>
        <x:v>19.5</x:v>
      </x:c>
      <x:c r="C52" s="200" t="n">
        <x:v>19.5</x:v>
      </x:c>
      <x:c r="D52" s="201" t="n">
        <x:f>B52-C52</x:f>
        <x:v>0</x:v>
      </x:c>
      <x:c r="E52" s="200" t="n">
        <x:v>0.000001</x:v>
      </x:c>
      <x:c r="F52" s="32" t="str">
        <x:f>IF(ABS(D52)&lt;=E52,"OK","CHECK")</x:f>
        <x:v>OK</x:v>
      </x:c>
      <x:c r="G52" s="32" t="str">
        <x:v>投料×耗材单价/1000</x:v>
      </x:c>
    </x:row>
    <x:row r="53">
      <x:c r="A53" s="32" t="str">
        <x:v>玻璃基板2027行业价值池=网页</x:v>
      </x:c>
      <x:c r="B53" s="199" t="n">
        <x:f>'增长点与期权'!G17</x:f>
        <x:v>48</x:v>
      </x:c>
      <x:c r="C53" s="200" t="n">
        <x:v>48</x:v>
      </x:c>
      <x:c r="D53" s="201" t="n">
        <x:f>B53-C53</x:f>
        <x:v>0</x:v>
      </x:c>
      <x:c r="E53" s="200" t="n">
        <x:v>0.000001</x:v>
      </x:c>
      <x:c r="F53" s="32" t="str">
        <x:f>IF(ABS(D53)&lt;=E53,"OK","CHECK")</x:f>
        <x:v>OK</x:v>
      </x:c>
      <x:c r="G53" s="32" t="str">
        <x:v>切割+耗材</x:v>
      </x:c>
    </x:row>
    <x:row r="54">
      <x:c r="A54" s="32" t="str">
        <x:v>玻璃基板2027可触及收入=网页</x:v>
      </x:c>
      <x:c r="B54" s="199" t="n">
        <x:f>'增长点与期权'!I17</x:f>
        <x:v>1.44</x:v>
      </x:c>
      <x:c r="C54" s="200" t="n">
        <x:v>1.44</x:v>
      </x:c>
      <x:c r="D54" s="201" t="n">
        <x:f>B54-C54</x:f>
        <x:v>0</x:v>
      </x:c>
      <x:c r="E54" s="200" t="n">
        <x:v>0.000001</x:v>
      </x:c>
      <x:c r="F54" s="32" t="str">
        <x:f>IF(ABS(D54)&lt;=E54,"OK","CHECK")</x:f>
        <x:v>OK</x:v>
      </x:c>
      <x:c r="G54" s="32" t="str">
        <x:v>行业价值池×可触及份额</x:v>
      </x:c>
    </x:row>
    <x:row r="55">
      <x:c r="A55" s="32" t="str">
        <x:v>玻璃基板2028切割价值池=网页</x:v>
      </x:c>
      <x:c r="B55" s="199" t="n">
        <x:f>'增长点与期权'!D18</x:f>
        <x:v>90</x:v>
      </x:c>
      <x:c r="C55" s="200" t="n">
        <x:v>90</x:v>
      </x:c>
      <x:c r="D55" s="201" t="n">
        <x:f>B55-C55</x:f>
        <x:v>0</x:v>
      </x:c>
      <x:c r="E55" s="200" t="n">
        <x:v>0.000001</x:v>
      </x:c>
      <x:c r="F55" s="32" t="str">
        <x:f>IF(ABS(D55)&lt;=E55,"OK","CHECK")</x:f>
        <x:v>OK</x:v>
      </x:c>
      <x:c r="G55" s="32" t="str">
        <x:v>投料×切割单价/1000</x:v>
      </x:c>
    </x:row>
    <x:row r="56">
      <x:c r="A56" s="32" t="str">
        <x:v>玻璃基板2028耗材价值池=网页</x:v>
      </x:c>
      <x:c r="B56" s="199" t="n">
        <x:f>'增长点与期权'!F18</x:f>
        <x:v>60</x:v>
      </x:c>
      <x:c r="C56" s="200" t="n">
        <x:v>60</x:v>
      </x:c>
      <x:c r="D56" s="201" t="n">
        <x:f>B56-C56</x:f>
        <x:v>0</x:v>
      </x:c>
      <x:c r="E56" s="200" t="n">
        <x:v>0.000001</x:v>
      </x:c>
      <x:c r="F56" s="32" t="str">
        <x:f>IF(ABS(D56)&lt;=E56,"OK","CHECK")</x:f>
        <x:v>OK</x:v>
      </x:c>
      <x:c r="G56" s="32" t="str">
        <x:v>投料×耗材单价/1000</x:v>
      </x:c>
    </x:row>
    <x:row r="57">
      <x:c r="A57" s="32" t="str">
        <x:v>玻璃基板2028行业价值池=网页</x:v>
      </x:c>
      <x:c r="B57" s="199" t="n">
        <x:f>'增长点与期权'!G18</x:f>
        <x:v>150</x:v>
      </x:c>
      <x:c r="C57" s="200" t="n">
        <x:v>150</x:v>
      </x:c>
      <x:c r="D57" s="201" t="n">
        <x:f>B57-C57</x:f>
        <x:v>0</x:v>
      </x:c>
      <x:c r="E57" s="200" t="n">
        <x:v>0.000001</x:v>
      </x:c>
      <x:c r="F57" s="32" t="str">
        <x:f>IF(ABS(D57)&lt;=E57,"OK","CHECK")</x:f>
        <x:v>OK</x:v>
      </x:c>
      <x:c r="G57" s="32" t="str">
        <x:v>切割+耗材</x:v>
      </x:c>
    </x:row>
    <x:row r="58">
      <x:c r="A58" s="32" t="str">
        <x:v>玻璃基板2028可触及收入=网页</x:v>
      </x:c>
      <x:c r="B58" s="199" t="n">
        <x:f>'增长点与期权'!I18</x:f>
        <x:v>7.5</x:v>
      </x:c>
      <x:c r="C58" s="200" t="n">
        <x:v>7.5</x:v>
      </x:c>
      <x:c r="D58" s="201" t="n">
        <x:f>B58-C58</x:f>
        <x:v>0</x:v>
      </x:c>
      <x:c r="E58" s="200" t="n">
        <x:v>0.000001</x:v>
      </x:c>
      <x:c r="F58" s="32" t="str">
        <x:f>IF(ABS(D58)&lt;=E58,"OK","CHECK")</x:f>
        <x:v>OK</x:v>
      </x:c>
      <x:c r="G58" s="32" t="str">
        <x:v>行业价值池×可触及份额</x:v>
      </x:c>
    </x:row>
    <x:row r="59">
      <x:c r="A59" s="32" t="str">
        <x:v>玻璃基板2029切割价值池=网页</x:v>
      </x:c>
      <x:c r="B59" s="199" t="n">
        <x:f>'增长点与期权'!D19</x:f>
        <x:v>150.5</x:v>
      </x:c>
      <x:c r="C59" s="200" t="n">
        <x:v>150.5</x:v>
      </x:c>
      <x:c r="D59" s="201" t="n">
        <x:f>B59-C59</x:f>
        <x:v>0</x:v>
      </x:c>
      <x:c r="E59" s="200" t="n">
        <x:v>0.000001</x:v>
      </x:c>
      <x:c r="F59" s="32" t="str">
        <x:f>IF(ABS(D59)&lt;=E59,"OK","CHECK")</x:f>
        <x:v>OK</x:v>
      </x:c>
      <x:c r="G59" s="32" t="str">
        <x:v>投料×切割单价/1000</x:v>
      </x:c>
    </x:row>
    <x:row r="60">
      <x:c r="A60" s="32" t="str">
        <x:v>玻璃基板2029耗材价值池=网页</x:v>
      </x:c>
      <x:c r="B60" s="199" t="n">
        <x:f>'增长点与期权'!F19</x:f>
        <x:v>99.75</x:v>
      </x:c>
      <x:c r="C60" s="200" t="n">
        <x:v>99.75</x:v>
      </x:c>
      <x:c r="D60" s="201" t="n">
        <x:f>B60-C60</x:f>
        <x:v>0</x:v>
      </x:c>
      <x:c r="E60" s="200" t="n">
        <x:v>0.000001</x:v>
      </x:c>
      <x:c r="F60" s="32" t="str">
        <x:f>IF(ABS(D60)&lt;=E60,"OK","CHECK")</x:f>
        <x:v>OK</x:v>
      </x:c>
      <x:c r="G60" s="32" t="str">
        <x:v>投料×耗材单价/1000</x:v>
      </x:c>
    </x:row>
    <x:row r="61">
      <x:c r="A61" s="32" t="str">
        <x:v>玻璃基板2029行业价值池=网页</x:v>
      </x:c>
      <x:c r="B61" s="199" t="n">
        <x:f>'增长点与期权'!G19</x:f>
        <x:v>250.25</x:v>
      </x:c>
      <x:c r="C61" s="200" t="n">
        <x:v>250.25</x:v>
      </x:c>
      <x:c r="D61" s="201" t="n">
        <x:f>B61-C61</x:f>
        <x:v>0</x:v>
      </x:c>
      <x:c r="E61" s="200" t="n">
        <x:v>0.000001</x:v>
      </x:c>
      <x:c r="F61" s="32" t="str">
        <x:f>IF(ABS(D61)&lt;=E61,"OK","CHECK")</x:f>
        <x:v>OK</x:v>
      </x:c>
      <x:c r="G61" s="32" t="str">
        <x:v>切割+耗材</x:v>
      </x:c>
    </x:row>
    <x:row r="62">
      <x:c r="A62" s="32" t="str">
        <x:v>玻璃基板2029可触及收入=网页</x:v>
      </x:c>
      <x:c r="B62" s="199" t="n">
        <x:f>'增长点与期权'!I19</x:f>
        <x:v>20.02</x:v>
      </x:c>
      <x:c r="C62" s="200" t="n">
        <x:v>20.02</x:v>
      </x:c>
      <x:c r="D62" s="201" t="n">
        <x:f>B62-C62</x:f>
        <x:v>0</x:v>
      </x:c>
      <x:c r="E62" s="200" t="n">
        <x:v>0.000001</x:v>
      </x:c>
      <x:c r="F62" s="32" t="str">
        <x:f>IF(ABS(D62)&lt;=E62,"OK","CHECK")</x:f>
        <x:v>OK</x:v>
      </x:c>
      <x:c r="G62" s="32" t="str">
        <x:v>行业价值池×可触及份额</x:v>
      </x:c>
    </x:row>
    <x:row r="63">
      <x:c r="A63" s="32" t="str">
        <x:v>玻璃基板2030切割价值池=网页</x:v>
      </x:c>
      <x:c r="B63" s="199" t="n">
        <x:f>'增长点与期权'!D20</x:f>
        <x:v>252</x:v>
      </x:c>
      <x:c r="C63" s="200" t="n">
        <x:v>252</x:v>
      </x:c>
      <x:c r="D63" s="201" t="n">
        <x:f>B63-C63</x:f>
        <x:v>0</x:v>
      </x:c>
      <x:c r="E63" s="200" t="n">
        <x:v>0.000001</x:v>
      </x:c>
      <x:c r="F63" s="32" t="str">
        <x:f>IF(ABS(D63)&lt;=E63,"OK","CHECK")</x:f>
        <x:v>OK</x:v>
      </x:c>
      <x:c r="G63" s="32" t="str">
        <x:v>投料×切割单价/1000</x:v>
      </x:c>
    </x:row>
    <x:row r="64">
      <x:c r="A64" s="32" t="str">
        <x:v>玻璃基板2030耗材价值池=网页</x:v>
      </x:c>
      <x:c r="B64" s="199" t="n">
        <x:f>'增长点与期权'!F20</x:f>
        <x:v>168</x:v>
      </x:c>
      <x:c r="C64" s="200" t="n">
        <x:v>168</x:v>
      </x:c>
      <x:c r="D64" s="201" t="n">
        <x:f>B64-C64</x:f>
        <x:v>0</x:v>
      </x:c>
      <x:c r="E64" s="200" t="n">
        <x:v>0.000001</x:v>
      </x:c>
      <x:c r="F64" s="32" t="str">
        <x:f>IF(ABS(D64)&lt;=E64,"OK","CHECK")</x:f>
        <x:v>OK</x:v>
      </x:c>
      <x:c r="G64" s="32" t="str">
        <x:v>投料×耗材单价/1000</x:v>
      </x:c>
    </x:row>
    <x:row r="65">
      <x:c r="A65" s="32" t="str">
        <x:v>玻璃基板2030行业价值池=网页</x:v>
      </x:c>
      <x:c r="B65" s="199" t="n">
        <x:f>'增长点与期权'!G20</x:f>
        <x:v>420</x:v>
      </x:c>
      <x:c r="C65" s="200" t="n">
        <x:v>420</x:v>
      </x:c>
      <x:c r="D65" s="201" t="n">
        <x:f>B65-C65</x:f>
        <x:v>0</x:v>
      </x:c>
      <x:c r="E65" s="200" t="n">
        <x:v>0.000001</x:v>
      </x:c>
      <x:c r="F65" s="32" t="str">
        <x:f>IF(ABS(D65)&lt;=E65,"OK","CHECK")</x:f>
        <x:v>OK</x:v>
      </x:c>
      <x:c r="G65" s="32" t="str">
        <x:v>切割+耗材</x:v>
      </x:c>
    </x:row>
    <x:row r="66">
      <x:c r="A66" s="32" t="str">
        <x:v>玻璃基板2030可触及收入=网页</x:v>
      </x:c>
      <x:c r="B66" s="199" t="n">
        <x:f>'增长点与期权'!I20</x:f>
        <x:v>50.4</x:v>
      </x:c>
      <x:c r="C66" s="200" t="n">
        <x:v>50.4</x:v>
      </x:c>
      <x:c r="D66" s="201" t="n">
        <x:f>B66-C66</x:f>
        <x:v>0</x:v>
      </x:c>
      <x:c r="E66" s="200" t="n">
        <x:v>0.000001</x:v>
      </x:c>
      <x:c r="F66" s="32" t="str">
        <x:f>IF(ABS(D66)&lt;=E66,"OK","CHECK")</x:f>
        <x:v>OK</x:v>
      </x:c>
      <x:c r="G66" s="32" t="str">
        <x:v>行业价值池×可触及份额</x:v>
      </x:c>
    </x:row>
    <x:row r="67">
      <x:c r="A67" s="32" t="str">
        <x:v>石材可触及市场合计</x:v>
      </x:c>
      <x:c r="B67" s="199" t="n">
        <x:f>'行业研判'!F51</x:f>
        <x:v>1100</x:v>
      </x:c>
      <x:c r="C67" s="200" t="n">
        <x:v>1100</x:v>
      </x:c>
      <x:c r="D67" s="201" t="n">
        <x:f>B67-C67</x:f>
        <x:v>0</x:v>
      </x:c>
      <x:c r="E67" s="200" t="n">
        <x:v>0.000001</x:v>
      </x:c>
      <x:c r="F67" s="32" t="str">
        <x:f>IF(ABS(D67)&lt;=E67,"OK","CHECK")</x:f>
        <x:v>OK</x:v>
      </x:c>
      <x:c r="G67" s="32" t="str">
        <x:v>当前网页四类能力价值池求和</x:v>
      </x:c>
    </x:row>
    <x:row r="68">
      <x:c r="A68" s="32" t="str">
        <x:v>磁材可触及市场合计</x:v>
      </x:c>
      <x:c r="B68" s="199" t="n">
        <x:f>'行业研判'!F52</x:f>
        <x:v>1300</x:v>
      </x:c>
      <x:c r="C68" s="200" t="n">
        <x:v>1300</x:v>
      </x:c>
      <x:c r="D68" s="201" t="n">
        <x:f>B68-C68</x:f>
        <x:v>0</x:v>
      </x:c>
      <x:c r="E68" s="200" t="n">
        <x:v>0.000001</x:v>
      </x:c>
      <x:c r="F68" s="32" t="str">
        <x:f>IF(ABS(D68)&lt;=E68,"OK","CHECK")</x:f>
        <x:v>OK</x:v>
      </x:c>
      <x:c r="G68" s="32" t="str">
        <x:v>当前网页四类能力价值池求和</x:v>
      </x:c>
    </x:row>
    <x:row r="69">
      <x:c r="A69" s="32" t="str">
        <x:v>玻璃 / 陶瓷可触及市场合计</x:v>
      </x:c>
      <x:c r="B69" s="199" t="n">
        <x:f>'行业研判'!F53</x:f>
        <x:v>6500</x:v>
      </x:c>
      <x:c r="C69" s="200" t="n">
        <x:v>6500</x:v>
      </x:c>
      <x:c r="D69" s="201" t="n">
        <x:f>B69-C69</x:f>
        <x:v>0</x:v>
      </x:c>
      <x:c r="E69" s="200" t="n">
        <x:v>0.000001</x:v>
      </x:c>
      <x:c r="F69" s="32" t="str">
        <x:f>IF(ABS(D69)&lt;=E69,"OK","CHECK")</x:f>
        <x:v>OK</x:v>
      </x:c>
      <x:c r="G69" s="32" t="str">
        <x:v>当前网页四类能力价值池求和</x:v>
      </x:c>
    </x:row>
    <x:row r="70">
      <x:c r="A70" s="32" t="str">
        <x:v>金属 / 3D打印可触及市场合计</x:v>
      </x:c>
      <x:c r="B70" s="199" t="n">
        <x:f>'行业研判'!F54</x:f>
        <x:v>1500</x:v>
      </x:c>
      <x:c r="C70" s="200" t="n">
        <x:v>1500</x:v>
      </x:c>
      <x:c r="D70" s="201" t="n">
        <x:f>B70-C70</x:f>
        <x:v>0</x:v>
      </x:c>
      <x:c r="E70" s="200" t="n">
        <x:v>0.000001</x:v>
      </x:c>
      <x:c r="F70" s="32" t="str">
        <x:f>IF(ABS(D70)&lt;=E70,"OK","CHECK")</x:f>
        <x:v>OK</x:v>
      </x:c>
      <x:c r="G70" s="32" t="str">
        <x:v>当前网页四类能力价值池求和</x:v>
      </x:c>
    </x:row>
    <x:row r="71">
      <x:c r="A71" s="32" t="str">
        <x:v>半导体可触及市场合计</x:v>
      </x:c>
      <x:c r="B71" s="199" t="n">
        <x:f>'行业研判'!F55</x:f>
        <x:v>2350</x:v>
      </x:c>
      <x:c r="C71" s="200" t="n">
        <x:v>2350</x:v>
      </x:c>
      <x:c r="D71" s="201" t="n">
        <x:f>B71-C71</x:f>
        <x:v>0</x:v>
      </x:c>
      <x:c r="E71" s="200" t="n">
        <x:v>0.000001</x:v>
      </x:c>
      <x:c r="F71" s="32" t="str">
        <x:f>IF(ABS(D71)&lt;=E71,"OK","CHECK")</x:f>
        <x:v>OK</x:v>
      </x:c>
      <x:c r="G71" s="32" t="str">
        <x:v>当前网页四类能力价值池求和</x:v>
      </x:c>
    </x:row>
    <x:row r="72">
      <x:c r="A72" s="32" t="str">
        <x:v>悲观2026收入勾稽</x:v>
      </x:c>
      <x:c r="B72" s="199" t="n">
        <x:f>'分部预测'!B48</x:f>
        <x:v>0</x:v>
      </x:c>
      <x:c r="C72" s="200" t="n">
        <x:v>0</x:v>
      </x:c>
      <x:c r="D72" s="201" t="n">
        <x:f>B72-C72</x:f>
        <x:v>0</x:v>
      </x:c>
      <x:c r="E72" s="200" t="n">
        <x:v>0.001</x:v>
      </x:c>
      <x:c r="F72" s="32" t="str">
        <x:f>IF(ABS(D72)&lt;=E72,"OK","CHECK")</x:f>
        <x:v>OK</x:v>
      </x:c>
      <x:c r="G72" s="32" t="str">
        <x:v>收入分部合计</x:v>
      </x:c>
    </x:row>
    <x:row r="73">
      <x:c r="A73" s="32" t="str">
        <x:v>悲观2026毛利勾稽</x:v>
      </x:c>
      <x:c r="B73" s="199" t="n">
        <x:f>'分部预测'!B49</x:f>
        <x:v>0</x:v>
      </x:c>
      <x:c r="C73" s="200" t="n">
        <x:v>0</x:v>
      </x:c>
      <x:c r="D73" s="201" t="n">
        <x:f>B73-C73</x:f>
        <x:v>0</x:v>
      </x:c>
      <x:c r="E73" s="200" t="n">
        <x:v>0.001</x:v>
      </x:c>
      <x:c r="F73" s="32" t="str">
        <x:f>IF(ABS(D73)&lt;=E73,"OK","CHECK")</x:f>
        <x:v>OK</x:v>
      </x:c>
      <x:c r="G73" s="32" t="str">
        <x:v>毛利分部合计</x:v>
      </x:c>
    </x:row>
    <x:row r="74">
      <x:c r="A74" s="32" t="str">
        <x:v>悲观2027收入勾稽</x:v>
      </x:c>
      <x:c r="B74" s="199" t="n">
        <x:f>'分部预测'!C48</x:f>
        <x:v>0</x:v>
      </x:c>
      <x:c r="C74" s="200" t="n">
        <x:v>0</x:v>
      </x:c>
      <x:c r="D74" s="201" t="n">
        <x:f>B74-C74</x:f>
        <x:v>0</x:v>
      </x:c>
      <x:c r="E74" s="200" t="n">
        <x:v>0.001</x:v>
      </x:c>
      <x:c r="F74" s="32" t="str">
        <x:f>IF(ABS(D74)&lt;=E74,"OK","CHECK")</x:f>
        <x:v>OK</x:v>
      </x:c>
      <x:c r="G74" s="32" t="str">
        <x:v>收入分部合计</x:v>
      </x:c>
    </x:row>
    <x:row r="75">
      <x:c r="A75" s="32" t="str">
        <x:v>悲观2027毛利勾稽</x:v>
      </x:c>
      <x:c r="B75" s="199" t="n">
        <x:f>'分部预测'!C49</x:f>
        <x:v>0</x:v>
      </x:c>
      <x:c r="C75" s="200" t="n">
        <x:v>0</x:v>
      </x:c>
      <x:c r="D75" s="201" t="n">
        <x:f>B75-C75</x:f>
        <x:v>0</x:v>
      </x:c>
      <x:c r="E75" s="200" t="n">
        <x:v>0.001</x:v>
      </x:c>
      <x:c r="F75" s="32" t="str">
        <x:f>IF(ABS(D75)&lt;=E75,"OK","CHECK")</x:f>
        <x:v>OK</x:v>
      </x:c>
      <x:c r="G75" s="32" t="str">
        <x:v>毛利分部合计</x:v>
      </x:c>
    </x:row>
    <x:row r="76">
      <x:c r="A76" s="32" t="str">
        <x:v>悲观2028收入勾稽</x:v>
      </x:c>
      <x:c r="B76" s="199" t="n">
        <x:f>'分部预测'!D48</x:f>
        <x:v>0</x:v>
      </x:c>
      <x:c r="C76" s="200" t="n">
        <x:v>0</x:v>
      </x:c>
      <x:c r="D76" s="201" t="n">
        <x:f>B76-C76</x:f>
        <x:v>0</x:v>
      </x:c>
      <x:c r="E76" s="200" t="n">
        <x:v>0.001</x:v>
      </x:c>
      <x:c r="F76" s="32" t="str">
        <x:f>IF(ABS(D76)&lt;=E76,"OK","CHECK")</x:f>
        <x:v>OK</x:v>
      </x:c>
      <x:c r="G76" s="32" t="str">
        <x:v>收入分部合计</x:v>
      </x:c>
    </x:row>
    <x:row r="77">
      <x:c r="A77" s="32" t="str">
        <x:v>悲观2028毛利勾稽</x:v>
      </x:c>
      <x:c r="B77" s="199" t="n">
        <x:f>'分部预测'!D49</x:f>
        <x:v>0</x:v>
      </x:c>
      <x:c r="C77" s="200" t="n">
        <x:v>0</x:v>
      </x:c>
      <x:c r="D77" s="201" t="n">
        <x:f>B77-C77</x:f>
        <x:v>0</x:v>
      </x:c>
      <x:c r="E77" s="200" t="n">
        <x:v>0.001</x:v>
      </x:c>
      <x:c r="F77" s="32" t="str">
        <x:f>IF(ABS(D77)&lt;=E77,"OK","CHECK")</x:f>
        <x:v>OK</x:v>
      </x:c>
      <x:c r="G77" s="32" t="str">
        <x:v>毛利分部合计</x:v>
      </x:c>
    </x:row>
    <x:row r="78">
      <x:c r="A78" s="32" t="str">
        <x:v>悲观2029收入勾稽</x:v>
      </x:c>
      <x:c r="B78" s="199" t="n">
        <x:f>'分部预测'!E48</x:f>
        <x:v>0</x:v>
      </x:c>
      <x:c r="C78" s="200" t="n">
        <x:v>0</x:v>
      </x:c>
      <x:c r="D78" s="201" t="n">
        <x:f>B78-C78</x:f>
        <x:v>0</x:v>
      </x:c>
      <x:c r="E78" s="200" t="n">
        <x:v>0.001</x:v>
      </x:c>
      <x:c r="F78" s="32" t="str">
        <x:f>IF(ABS(D78)&lt;=E78,"OK","CHECK")</x:f>
        <x:v>OK</x:v>
      </x:c>
      <x:c r="G78" s="32" t="str">
        <x:v>收入分部合计</x:v>
      </x:c>
    </x:row>
    <x:row r="79">
      <x:c r="A79" s="32" t="str">
        <x:v>悲观2029毛利勾稽</x:v>
      </x:c>
      <x:c r="B79" s="199" t="n">
        <x:f>'分部预测'!E49</x:f>
        <x:v>0</x:v>
      </x:c>
      <x:c r="C79" s="200" t="n">
        <x:v>0</x:v>
      </x:c>
      <x:c r="D79" s="201" t="n">
        <x:f>B79-C79</x:f>
        <x:v>0</x:v>
      </x:c>
      <x:c r="E79" s="200" t="n">
        <x:v>0.001</x:v>
      </x:c>
      <x:c r="F79" s="32" t="str">
        <x:f>IF(ABS(D79)&lt;=E79,"OK","CHECK")</x:f>
        <x:v>OK</x:v>
      </x:c>
      <x:c r="G79" s="32" t="str">
        <x:v>毛利分部合计</x:v>
      </x:c>
    </x:row>
    <x:row r="80">
      <x:c r="A80" s="32" t="str">
        <x:v>悲观2030收入勾稽</x:v>
      </x:c>
      <x:c r="B80" s="199" t="n">
        <x:f>'分部预测'!F48</x:f>
        <x:v>0</x:v>
      </x:c>
      <x:c r="C80" s="200" t="n">
        <x:v>0</x:v>
      </x:c>
      <x:c r="D80" s="201" t="n">
        <x:f>B80-C80</x:f>
        <x:v>0</x:v>
      </x:c>
      <x:c r="E80" s="200" t="n">
        <x:v>0.001</x:v>
      </x:c>
      <x:c r="F80" s="32" t="str">
        <x:f>IF(ABS(D80)&lt;=E80,"OK","CHECK")</x:f>
        <x:v>OK</x:v>
      </x:c>
      <x:c r="G80" s="32" t="str">
        <x:v>收入分部合计</x:v>
      </x:c>
    </x:row>
    <x:row r="81">
      <x:c r="A81" s="32" t="str">
        <x:v>悲观2030毛利勾稽</x:v>
      </x:c>
      <x:c r="B81" s="199" t="n">
        <x:f>'分部预测'!F49</x:f>
        <x:v>0</x:v>
      </x:c>
      <x:c r="C81" s="200" t="n">
        <x:v>0</x:v>
      </x:c>
      <x:c r="D81" s="201" t="n">
        <x:f>B81-C81</x:f>
        <x:v>0</x:v>
      </x:c>
      <x:c r="E81" s="200" t="n">
        <x:v>0.001</x:v>
      </x:c>
      <x:c r="F81" s="32" t="str">
        <x:f>IF(ABS(D81)&lt;=E81,"OK","CHECK")</x:f>
        <x:v>OK</x:v>
      </x:c>
      <x:c r="G81" s="32" t="str">
        <x:v>毛利分部合计</x:v>
      </x:c>
    </x:row>
    <x:row r="82">
      <x:c r="A82" s="32" t="str">
        <x:v>基准2026收入勾稽</x:v>
      </x:c>
      <x:c r="B82" s="199" t="n">
        <x:f>'分部预测'!B97</x:f>
        <x:v>0</x:v>
      </x:c>
      <x:c r="C82" s="200" t="n">
        <x:v>0</x:v>
      </x:c>
      <x:c r="D82" s="201" t="n">
        <x:f>B82-C82</x:f>
        <x:v>0</x:v>
      </x:c>
      <x:c r="E82" s="200" t="n">
        <x:v>0.001</x:v>
      </x:c>
      <x:c r="F82" s="32" t="str">
        <x:f>IF(ABS(D82)&lt;=E82,"OK","CHECK")</x:f>
        <x:v>OK</x:v>
      </x:c>
      <x:c r="G82" s="32" t="str">
        <x:v>收入分部合计</x:v>
      </x:c>
    </x:row>
    <x:row r="83">
      <x:c r="A83" s="32" t="str">
        <x:v>基准2026毛利勾稽</x:v>
      </x:c>
      <x:c r="B83" s="199" t="n">
        <x:f>'分部预测'!B98</x:f>
        <x:v>0</x:v>
      </x:c>
      <x:c r="C83" s="200" t="n">
        <x:v>0</x:v>
      </x:c>
      <x:c r="D83" s="201" t="n">
        <x:f>B83-C83</x:f>
        <x:v>0</x:v>
      </x:c>
      <x:c r="E83" s="200" t="n">
        <x:v>0.001</x:v>
      </x:c>
      <x:c r="F83" s="32" t="str">
        <x:f>IF(ABS(D83)&lt;=E83,"OK","CHECK")</x:f>
        <x:v>OK</x:v>
      </x:c>
      <x:c r="G83" s="32" t="str">
        <x:v>毛利分部合计</x:v>
      </x:c>
    </x:row>
    <x:row r="84">
      <x:c r="A84" s="32" t="str">
        <x:v>基准2027收入勾稽</x:v>
      </x:c>
      <x:c r="B84" s="199" t="n">
        <x:f>'分部预测'!C97</x:f>
        <x:v>0</x:v>
      </x:c>
      <x:c r="C84" s="200" t="n">
        <x:v>0</x:v>
      </x:c>
      <x:c r="D84" s="201" t="n">
        <x:f>B84-C84</x:f>
        <x:v>0</x:v>
      </x:c>
      <x:c r="E84" s="200" t="n">
        <x:v>0.001</x:v>
      </x:c>
      <x:c r="F84" s="32" t="str">
        <x:f>IF(ABS(D84)&lt;=E84,"OK","CHECK")</x:f>
        <x:v>OK</x:v>
      </x:c>
      <x:c r="G84" s="32" t="str">
        <x:v>收入分部合计</x:v>
      </x:c>
    </x:row>
    <x:row r="85">
      <x:c r="A85" s="32" t="str">
        <x:v>基准2027毛利勾稽</x:v>
      </x:c>
      <x:c r="B85" s="199" t="n">
        <x:f>'分部预测'!C98</x:f>
        <x:v>0</x:v>
      </x:c>
      <x:c r="C85" s="200" t="n">
        <x:v>0</x:v>
      </x:c>
      <x:c r="D85" s="201" t="n">
        <x:f>B85-C85</x:f>
        <x:v>0</x:v>
      </x:c>
      <x:c r="E85" s="200" t="n">
        <x:v>0.001</x:v>
      </x:c>
      <x:c r="F85" s="32" t="str">
        <x:f>IF(ABS(D85)&lt;=E85,"OK","CHECK")</x:f>
        <x:v>OK</x:v>
      </x:c>
      <x:c r="G85" s="32" t="str">
        <x:v>毛利分部合计</x:v>
      </x:c>
    </x:row>
    <x:row r="86">
      <x:c r="A86" s="32" t="str">
        <x:v>基准2028收入勾稽</x:v>
      </x:c>
      <x:c r="B86" s="199" t="n">
        <x:f>'分部预测'!D97</x:f>
        <x:v>0</x:v>
      </x:c>
      <x:c r="C86" s="200" t="n">
        <x:v>0</x:v>
      </x:c>
      <x:c r="D86" s="201" t="n">
        <x:f>B86-C86</x:f>
        <x:v>0</x:v>
      </x:c>
      <x:c r="E86" s="200" t="n">
        <x:v>0.001</x:v>
      </x:c>
      <x:c r="F86" s="32" t="str">
        <x:f>IF(ABS(D86)&lt;=E86,"OK","CHECK")</x:f>
        <x:v>OK</x:v>
      </x:c>
      <x:c r="G86" s="32" t="str">
        <x:v>收入分部合计</x:v>
      </x:c>
    </x:row>
    <x:row r="87">
      <x:c r="A87" s="32" t="str">
        <x:v>基准2028毛利勾稽</x:v>
      </x:c>
      <x:c r="B87" s="199" t="n">
        <x:f>'分部预测'!D98</x:f>
        <x:v>0</x:v>
      </x:c>
      <x:c r="C87" s="200" t="n">
        <x:v>0</x:v>
      </x:c>
      <x:c r="D87" s="201" t="n">
        <x:f>B87-C87</x:f>
        <x:v>0</x:v>
      </x:c>
      <x:c r="E87" s="200" t="n">
        <x:v>0.001</x:v>
      </x:c>
      <x:c r="F87" s="32" t="str">
        <x:f>IF(ABS(D87)&lt;=E87,"OK","CHECK")</x:f>
        <x:v>OK</x:v>
      </x:c>
      <x:c r="G87" s="32" t="str">
        <x:v>毛利分部合计</x:v>
      </x:c>
    </x:row>
    <x:row r="88">
      <x:c r="A88" s="32" t="str">
        <x:v>基准2029收入勾稽</x:v>
      </x:c>
      <x:c r="B88" s="199" t="n">
        <x:f>'分部预测'!E97</x:f>
        <x:v>0</x:v>
      </x:c>
      <x:c r="C88" s="200" t="n">
        <x:v>0</x:v>
      </x:c>
      <x:c r="D88" s="201" t="n">
        <x:f>B88-C88</x:f>
        <x:v>0</x:v>
      </x:c>
      <x:c r="E88" s="200" t="n">
        <x:v>0.001</x:v>
      </x:c>
      <x:c r="F88" s="32" t="str">
        <x:f>IF(ABS(D88)&lt;=E88,"OK","CHECK")</x:f>
        <x:v>OK</x:v>
      </x:c>
      <x:c r="G88" s="32" t="str">
        <x:v>收入分部合计</x:v>
      </x:c>
    </x:row>
    <x:row r="89">
      <x:c r="A89" s="32" t="str">
        <x:v>基准2029毛利勾稽</x:v>
      </x:c>
      <x:c r="B89" s="199" t="n">
        <x:f>'分部预测'!E98</x:f>
        <x:v>0</x:v>
      </x:c>
      <x:c r="C89" s="200" t="n">
        <x:v>0</x:v>
      </x:c>
      <x:c r="D89" s="201" t="n">
        <x:f>B89-C89</x:f>
        <x:v>0</x:v>
      </x:c>
      <x:c r="E89" s="200" t="n">
        <x:v>0.001</x:v>
      </x:c>
      <x:c r="F89" s="32" t="str">
        <x:f>IF(ABS(D89)&lt;=E89,"OK","CHECK")</x:f>
        <x:v>OK</x:v>
      </x:c>
      <x:c r="G89" s="32" t="str">
        <x:v>毛利分部合计</x:v>
      </x:c>
    </x:row>
    <x:row r="90">
      <x:c r="A90" s="32" t="str">
        <x:v>基准2030收入勾稽</x:v>
      </x:c>
      <x:c r="B90" s="199" t="n">
        <x:f>'分部预测'!F97</x:f>
        <x:v>0</x:v>
      </x:c>
      <x:c r="C90" s="200" t="n">
        <x:v>0</x:v>
      </x:c>
      <x:c r="D90" s="201" t="n">
        <x:f>B90-C90</x:f>
        <x:v>0</x:v>
      </x:c>
      <x:c r="E90" s="200" t="n">
        <x:v>0.001</x:v>
      </x:c>
      <x:c r="F90" s="32" t="str">
        <x:f>IF(ABS(D90)&lt;=E90,"OK","CHECK")</x:f>
        <x:v>OK</x:v>
      </x:c>
      <x:c r="G90" s="32" t="str">
        <x:v>收入分部合计</x:v>
      </x:c>
    </x:row>
    <x:row r="91">
      <x:c r="A91" s="32" t="str">
        <x:v>基准2030毛利勾稽</x:v>
      </x:c>
      <x:c r="B91" s="199" t="n">
        <x:f>'分部预测'!F98</x:f>
        <x:v>0</x:v>
      </x:c>
      <x:c r="C91" s="200" t="n">
        <x:v>0</x:v>
      </x:c>
      <x:c r="D91" s="201" t="n">
        <x:f>B91-C91</x:f>
        <x:v>0</x:v>
      </x:c>
      <x:c r="E91" s="200" t="n">
        <x:v>0.001</x:v>
      </x:c>
      <x:c r="F91" s="32" t="str">
        <x:f>IF(ABS(D91)&lt;=E91,"OK","CHECK")</x:f>
        <x:v>OK</x:v>
      </x:c>
      <x:c r="G91" s="32" t="str">
        <x:v>毛利分部合计</x:v>
      </x:c>
    </x:row>
    <x:row r="92">
      <x:c r="A92" s="32" t="str">
        <x:v>乐观2026收入勾稽</x:v>
      </x:c>
      <x:c r="B92" s="199" t="n">
        <x:f>'分部预测'!B146</x:f>
        <x:v>0</x:v>
      </x:c>
      <x:c r="C92" s="200" t="n">
        <x:v>0</x:v>
      </x:c>
      <x:c r="D92" s="201" t="n">
        <x:f>B92-C92</x:f>
        <x:v>0</x:v>
      </x:c>
      <x:c r="E92" s="200" t="n">
        <x:v>0.001</x:v>
      </x:c>
      <x:c r="F92" s="32" t="str">
        <x:f>IF(ABS(D92)&lt;=E92,"OK","CHECK")</x:f>
        <x:v>OK</x:v>
      </x:c>
      <x:c r="G92" s="32" t="str">
        <x:v>收入分部合计</x:v>
      </x:c>
    </x:row>
    <x:row r="93">
      <x:c r="A93" s="32" t="str">
        <x:v>乐观2026毛利勾稽</x:v>
      </x:c>
      <x:c r="B93" s="199" t="n">
        <x:f>'分部预测'!B147</x:f>
        <x:v>0</x:v>
      </x:c>
      <x:c r="C93" s="200" t="n">
        <x:v>0</x:v>
      </x:c>
      <x:c r="D93" s="201" t="n">
        <x:f>B93-C93</x:f>
        <x:v>0</x:v>
      </x:c>
      <x:c r="E93" s="200" t="n">
        <x:v>0.001</x:v>
      </x:c>
      <x:c r="F93" s="32" t="str">
        <x:f>IF(ABS(D93)&lt;=E93,"OK","CHECK")</x:f>
        <x:v>OK</x:v>
      </x:c>
      <x:c r="G93" s="32" t="str">
        <x:v>毛利分部合计</x:v>
      </x:c>
    </x:row>
    <x:row r="94">
      <x:c r="A94" s="32" t="str">
        <x:v>乐观2027收入勾稽</x:v>
      </x:c>
      <x:c r="B94" s="199" t="n">
        <x:f>'分部预测'!C146</x:f>
        <x:v>0</x:v>
      </x:c>
      <x:c r="C94" s="200" t="n">
        <x:v>0</x:v>
      </x:c>
      <x:c r="D94" s="201" t="n">
        <x:f>B94-C94</x:f>
        <x:v>0</x:v>
      </x:c>
      <x:c r="E94" s="200" t="n">
        <x:v>0.001</x:v>
      </x:c>
      <x:c r="F94" s="32" t="str">
        <x:f>IF(ABS(D94)&lt;=E94,"OK","CHECK")</x:f>
        <x:v>OK</x:v>
      </x:c>
      <x:c r="G94" s="32" t="str">
        <x:v>收入分部合计</x:v>
      </x:c>
    </x:row>
    <x:row r="95">
      <x:c r="A95" s="32" t="str">
        <x:v>乐观2027毛利勾稽</x:v>
      </x:c>
      <x:c r="B95" s="199" t="n">
        <x:f>'分部预测'!C147</x:f>
        <x:v>0</x:v>
      </x:c>
      <x:c r="C95" s="200" t="n">
        <x:v>0</x:v>
      </x:c>
      <x:c r="D95" s="201" t="n">
        <x:f>B95-C95</x:f>
        <x:v>0</x:v>
      </x:c>
      <x:c r="E95" s="200" t="n">
        <x:v>0.001</x:v>
      </x:c>
      <x:c r="F95" s="32" t="str">
        <x:f>IF(ABS(D95)&lt;=E95,"OK","CHECK")</x:f>
        <x:v>OK</x:v>
      </x:c>
      <x:c r="G95" s="32" t="str">
        <x:v>毛利分部合计</x:v>
      </x:c>
    </x:row>
    <x:row r="96">
      <x:c r="A96" s="32" t="str">
        <x:v>乐观2028收入勾稽</x:v>
      </x:c>
      <x:c r="B96" s="199" t="n">
        <x:f>'分部预测'!D146</x:f>
        <x:v>0</x:v>
      </x:c>
      <x:c r="C96" s="200" t="n">
        <x:v>0</x:v>
      </x:c>
      <x:c r="D96" s="201" t="n">
        <x:f>B96-C96</x:f>
        <x:v>0</x:v>
      </x:c>
      <x:c r="E96" s="200" t="n">
        <x:v>0.001</x:v>
      </x:c>
      <x:c r="F96" s="32" t="str">
        <x:f>IF(ABS(D96)&lt;=E96,"OK","CHECK")</x:f>
        <x:v>OK</x:v>
      </x:c>
      <x:c r="G96" s="32" t="str">
        <x:v>收入分部合计</x:v>
      </x:c>
    </x:row>
    <x:row r="97">
      <x:c r="A97" s="32" t="str">
        <x:v>乐观2028毛利勾稽</x:v>
      </x:c>
      <x:c r="B97" s="199" t="n">
        <x:f>'分部预测'!D147</x:f>
        <x:v>0</x:v>
      </x:c>
      <x:c r="C97" s="200" t="n">
        <x:v>0</x:v>
      </x:c>
      <x:c r="D97" s="201" t="n">
        <x:f>B97-C97</x:f>
        <x:v>0</x:v>
      </x:c>
      <x:c r="E97" s="200" t="n">
        <x:v>0.001</x:v>
      </x:c>
      <x:c r="F97" s="32" t="str">
        <x:f>IF(ABS(D97)&lt;=E97,"OK","CHECK")</x:f>
        <x:v>OK</x:v>
      </x:c>
      <x:c r="G97" s="32" t="str">
        <x:v>毛利分部合计</x:v>
      </x:c>
    </x:row>
    <x:row r="98">
      <x:c r="A98" s="32" t="str">
        <x:v>乐观2029收入勾稽</x:v>
      </x:c>
      <x:c r="B98" s="199" t="n">
        <x:f>'分部预测'!E146</x:f>
        <x:v>0</x:v>
      </x:c>
      <x:c r="C98" s="200" t="n">
        <x:v>0</x:v>
      </x:c>
      <x:c r="D98" s="201" t="n">
        <x:f>B98-C98</x:f>
        <x:v>0</x:v>
      </x:c>
      <x:c r="E98" s="200" t="n">
        <x:v>0.001</x:v>
      </x:c>
      <x:c r="F98" s="32" t="str">
        <x:f>IF(ABS(D98)&lt;=E98,"OK","CHECK")</x:f>
        <x:v>OK</x:v>
      </x:c>
      <x:c r="G98" s="32" t="str">
        <x:v>收入分部合计</x:v>
      </x:c>
    </x:row>
    <x:row r="99">
      <x:c r="A99" s="32" t="str">
        <x:v>乐观2029毛利勾稽</x:v>
      </x:c>
      <x:c r="B99" s="199" t="n">
        <x:f>'分部预测'!E147</x:f>
        <x:v>0</x:v>
      </x:c>
      <x:c r="C99" s="200" t="n">
        <x:v>0</x:v>
      </x:c>
      <x:c r="D99" s="201" t="n">
        <x:f>B99-C99</x:f>
        <x:v>0</x:v>
      </x:c>
      <x:c r="E99" s="200" t="n">
        <x:v>0.001</x:v>
      </x:c>
      <x:c r="F99" s="32" t="str">
        <x:f>IF(ABS(D99)&lt;=E99,"OK","CHECK")</x:f>
        <x:v>OK</x:v>
      </x:c>
      <x:c r="G99" s="32" t="str">
        <x:v>毛利分部合计</x:v>
      </x:c>
    </x:row>
    <x:row r="100">
      <x:c r="A100" s="32" t="str">
        <x:v>乐观2030收入勾稽</x:v>
      </x:c>
      <x:c r="B100" s="199" t="n">
        <x:f>'分部预测'!F146</x:f>
        <x:v>0</x:v>
      </x:c>
      <x:c r="C100" s="200" t="n">
        <x:v>0</x:v>
      </x:c>
      <x:c r="D100" s="201" t="n">
        <x:f>B100-C100</x:f>
        <x:v>0</x:v>
      </x:c>
      <x:c r="E100" s="200" t="n">
        <x:v>0.001</x:v>
      </x:c>
      <x:c r="F100" s="32" t="str">
        <x:f>IF(ABS(D100)&lt;=E100,"OK","CHECK")</x:f>
        <x:v>OK</x:v>
      </x:c>
      <x:c r="G100" s="32" t="str">
        <x:v>收入分部合计</x:v>
      </x:c>
    </x:row>
    <x:row r="101">
      <x:c r="A101" s="32" t="str">
        <x:v>乐观2030毛利勾稽</x:v>
      </x:c>
      <x:c r="B101" s="199" t="n">
        <x:f>'分部预测'!F147</x:f>
        <x:v>0</x:v>
      </x:c>
      <x:c r="C101" s="200" t="n">
        <x:v>0</x:v>
      </x:c>
      <x:c r="D101" s="201" t="n">
        <x:f>B101-C101</x:f>
        <x:v>0</x:v>
      </x:c>
      <x:c r="E101" s="200" t="n">
        <x:v>0.001</x:v>
      </x:c>
      <x:c r="F101" s="32" t="str">
        <x:f>IF(ABS(D101)&lt;=E101,"OK","CHECK")</x:f>
        <x:v>OK</x:v>
      </x:c>
      <x:c r="G101" s="32" t="str">
        <x:v>毛利分部合计</x:v>
      </x:c>
    </x:row>
    <x:row r="102">
      <x:c r="A102" s="210" t="str">
        <x:v>新增市场空间与证据同步检查</x:v>
      </x:c>
      <x:c r="B102" s="210" t="str">
        <x:v>新增市场空间与证据同步检查</x:v>
      </x:c>
      <x:c r="C102" s="210" t="str">
        <x:v>新增市场空间与证据同步检查</x:v>
      </x:c>
      <x:c r="D102" s="210" t="str">
        <x:v>新增市场空间与证据同步检查</x:v>
      </x:c>
      <x:c r="E102" s="210" t="str">
        <x:v>新增市场空间与证据同步检查</x:v>
      </x:c>
      <x:c r="F102" s="210" t="str">
        <x:v>新增市场空间与证据同步检查</x:v>
      </x:c>
      <x:c r="G102" s="210" t="str">
        <x:v>新增市场空间与证据同步检查</x:v>
      </x:c>
    </x:row>
    <x:row r="103">
      <x:c r="A103" s="219" t="str">
        <x:v>低情景玻璃CNC可竞争台数</x:v>
      </x:c>
      <x:c r="B103" s="271" t="n">
        <x:f>'新增市场空间'!D15</x:f>
        <x:v>2000</x:v>
      </x:c>
      <x:c r="C103" s="272" t="n">
        <x:v>2000</x:v>
      </x:c>
      <x:c r="D103" s="273" t="n">
        <x:f>B103-C103</x:f>
        <x:v>0</x:v>
      </x:c>
      <x:c r="E103" s="273" t="n">
        <x:v>0.001</x:v>
      </x:c>
      <x:c r="F103" s="263" t="str">
        <x:f>IF(ABS(D103)&lt;=E103,"OK","CHECK")</x:f>
        <x:v>OK</x:v>
      </x:c>
      <x:c r="G103" s="219" t="str">
        <x:v>客户需求×公司份额</x:v>
      </x:c>
    </x:row>
    <x:row r="104">
      <x:c r="A104" s="219" t="str">
        <x:v>低情景玻璃CNC理论收入</x:v>
      </x:c>
      <x:c r="B104" s="271" t="n">
        <x:f>'新增市场空间'!F15</x:f>
        <x:v>300</x:v>
      </x:c>
      <x:c r="C104" s="272" t="n">
        <x:v>300</x:v>
      </x:c>
      <x:c r="D104" s="273" t="n">
        <x:f>B104-C104</x:f>
        <x:v>0</x:v>
      </x:c>
      <x:c r="E104" s="273" t="n">
        <x:v>0.001</x:v>
      </x:c>
      <x:c r="F104" s="263" t="str">
        <x:f>IF(ABS(D104)&lt;=E104,"OK","CHECK")</x:f>
        <x:v>OK</x:v>
      </x:c>
      <x:c r="G104" s="219" t="str">
        <x:v>台数×15万元/台</x:v>
      </x:c>
    </x:row>
    <x:row r="105">
      <x:c r="A105" s="219" t="str">
        <x:v>中枢情景玻璃CNC可竞争台数</x:v>
      </x:c>
      <x:c r="B105" s="271" t="n">
        <x:f>'新增市场空间'!D16</x:f>
        <x:v>7500</x:v>
      </x:c>
      <x:c r="C105" s="272" t="n">
        <x:v>7500</x:v>
      </x:c>
      <x:c r="D105" s="273" t="n">
        <x:f>B105-C105</x:f>
        <x:v>0</x:v>
      </x:c>
      <x:c r="E105" s="273" t="n">
        <x:v>0.001</x:v>
      </x:c>
      <x:c r="F105" s="263" t="str">
        <x:f>IF(ABS(D105)&lt;=E105,"OK","CHECK")</x:f>
        <x:v>OK</x:v>
      </x:c>
      <x:c r="G105" s="219" t="str">
        <x:v>客户需求×公司份额</x:v>
      </x:c>
    </x:row>
    <x:row r="106">
      <x:c r="A106" s="219" t="str">
        <x:v>中枢情景玻璃CNC理论收入</x:v>
      </x:c>
      <x:c r="B106" s="271" t="n">
        <x:f>'新增市场空间'!F16</x:f>
        <x:v>1125</x:v>
      </x:c>
      <x:c r="C106" s="272" t="n">
        <x:v>1125</x:v>
      </x:c>
      <x:c r="D106" s="273" t="n">
        <x:f>B106-C106</x:f>
        <x:v>0</x:v>
      </x:c>
      <x:c r="E106" s="273" t="n">
        <x:v>0.001</x:v>
      </x:c>
      <x:c r="F106" s="263" t="str">
        <x:f>IF(ABS(D106)&lt;=E106,"OK","CHECK")</x:f>
        <x:v>OK</x:v>
      </x:c>
      <x:c r="G106" s="219" t="str">
        <x:v>台数×15万元/台</x:v>
      </x:c>
    </x:row>
    <x:row r="107">
      <x:c r="A107" s="219" t="str">
        <x:v>高情景玻璃CNC可竞争台数</x:v>
      </x:c>
      <x:c r="B107" s="271" t="n">
        <x:f>'新增市场空间'!D17</x:f>
        <x:v>16000</x:v>
      </x:c>
      <x:c r="C107" s="272" t="n">
        <x:v>16000</x:v>
      </x:c>
      <x:c r="D107" s="273" t="n">
        <x:f>B107-C107</x:f>
        <x:v>0</x:v>
      </x:c>
      <x:c r="E107" s="273" t="n">
        <x:v>0.001</x:v>
      </x:c>
      <x:c r="F107" s="263" t="str">
        <x:f>IF(ABS(D107)&lt;=E107,"OK","CHECK")</x:f>
        <x:v>OK</x:v>
      </x:c>
      <x:c r="G107" s="219" t="str">
        <x:v>客户需求×公司份额</x:v>
      </x:c>
    </x:row>
    <x:row r="108">
      <x:c r="A108" s="219" t="str">
        <x:v>高情景玻璃CNC理论收入</x:v>
      </x:c>
      <x:c r="B108" s="271" t="n">
        <x:f>'新增市场空间'!F17</x:f>
        <x:v>2400</x:v>
      </x:c>
      <x:c r="C108" s="272" t="n">
        <x:v>2400</x:v>
      </x:c>
      <x:c r="D108" s="273" t="n">
        <x:f>B108-C108</x:f>
        <x:v>0</x:v>
      </x:c>
      <x:c r="E108" s="273" t="n">
        <x:v>0.001</x:v>
      </x:c>
      <x:c r="F108" s="263" t="str">
        <x:f>IF(ABS(D108)&lt;=E108,"OK","CHECK")</x:f>
        <x:v>OK</x:v>
      </x:c>
      <x:c r="G108" s="219" t="str">
        <x:v>台数×15万元/台</x:v>
      </x:c>
    </x:row>
    <x:row r="109">
      <x:c r="A109" s="219" t="str">
        <x:v>低情景金属CNC行业更新池</x:v>
      </x:c>
      <x:c r="B109" s="271" t="n">
        <x:f>'新增市场空间'!F22</x:f>
        <x:v>210.6</x:v>
      </x:c>
      <x:c r="C109" s="272" t="n">
        <x:v>210.6</x:v>
      </x:c>
      <x:c r="D109" s="273" t="n">
        <x:f>B109-C109</x:f>
        <x:v>0</x:v>
      </x:c>
      <x:c r="E109" s="273" t="n">
        <x:v>0.001</x:v>
      </x:c>
      <x:c r="F109" s="263" t="str">
        <x:f>IF(ABS(D109)&lt;=E109,"OK","CHECK")</x:f>
        <x:v>OK</x:v>
      </x:c>
      <x:c r="G109" s="219" t="str">
        <x:v>保有量×更新率×ASP</x:v>
      </x:c>
    </x:row>
    <x:row r="110">
      <x:c r="A110" s="219" t="str">
        <x:v>低情景金属CNC公司空间</x:v>
      </x:c>
      <x:c r="B110" s="271" t="n">
        <x:f>'新增市场空间'!H22</x:f>
        <x:v>21.060000000000002</x:v>
      </x:c>
      <x:c r="C110" s="272" t="n">
        <x:v>21.06</x:v>
      </x:c>
      <x:c r="D110" s="273" t="n">
        <x:f>B110-C110</x:f>
        <x:v>3.552713678800501e-15</x:v>
      </x:c>
      <x:c r="E110" s="273" t="n">
        <x:v>0.001</x:v>
      </x:c>
      <x:c r="F110" s="263" t="str">
        <x:f>IF(ABS(D110)&lt;=E110,"OK","CHECK")</x:f>
        <x:v>OK</x:v>
      </x:c>
      <x:c r="G110" s="219" t="str">
        <x:v>行业池×公司份额</x:v>
      </x:c>
    </x:row>
    <x:row r="111">
      <x:c r="A111" s="219" t="str">
        <x:v>中枢情景金属CNC行业更新池</x:v>
      </x:c>
      <x:c r="B111" s="271" t="n">
        <x:f>'新增市场空间'!F23</x:f>
        <x:v>297</x:v>
      </x:c>
      <x:c r="C111" s="272" t="n">
        <x:v>297</x:v>
      </x:c>
      <x:c r="D111" s="273" t="n">
        <x:f>B111-C111</x:f>
        <x:v>0</x:v>
      </x:c>
      <x:c r="E111" s="273" t="n">
        <x:v>0.001</x:v>
      </x:c>
      <x:c r="F111" s="263" t="str">
        <x:f>IF(ABS(D111)&lt;=E111,"OK","CHECK")</x:f>
        <x:v>OK</x:v>
      </x:c>
      <x:c r="G111" s="219" t="str">
        <x:v>保有量×更新率×ASP</x:v>
      </x:c>
    </x:row>
    <x:row r="112">
      <x:c r="A112" s="219" t="str">
        <x:v>中枢情景金属CNC公司空间</x:v>
      </x:c>
      <x:c r="B112" s="271" t="n">
        <x:f>'新增市场空间'!H23</x:f>
        <x:v>74.25</x:v>
      </x:c>
      <x:c r="C112" s="272" t="n">
        <x:v>74.25</x:v>
      </x:c>
      <x:c r="D112" s="273" t="n">
        <x:f>B112-C112</x:f>
        <x:v>0</x:v>
      </x:c>
      <x:c r="E112" s="273" t="n">
        <x:v>0.001</x:v>
      </x:c>
      <x:c r="F112" s="263" t="str">
        <x:f>IF(ABS(D112)&lt;=E112,"OK","CHECK")</x:f>
        <x:v>OK</x:v>
      </x:c>
      <x:c r="G112" s="219" t="str">
        <x:v>行业池×公司份额</x:v>
      </x:c>
    </x:row>
    <x:row r="113">
      <x:c r="A113" s="219" t="str">
        <x:v>高情景金属CNC行业更新池</x:v>
      </x:c>
      <x:c r="B113" s="271" t="n">
        <x:f>'新增市场空间'!F24</x:f>
        <x:v>428.4</x:v>
      </x:c>
      <x:c r="C113" s="272" t="n">
        <x:v>428.4</x:v>
      </x:c>
      <x:c r="D113" s="273" t="n">
        <x:f>B113-C113</x:f>
        <x:v>0</x:v>
      </x:c>
      <x:c r="E113" s="273" t="n">
        <x:v>0.001</x:v>
      </x:c>
      <x:c r="F113" s="263" t="str">
        <x:f>IF(ABS(D113)&lt;=E113,"OK","CHECK")</x:f>
        <x:v>OK</x:v>
      </x:c>
      <x:c r="G113" s="219" t="str">
        <x:v>保有量×更新率×ASP</x:v>
      </x:c>
    </x:row>
    <x:row r="114">
      <x:c r="A114" s="219" t="str">
        <x:v>高情景金属CNC公司空间</x:v>
      </x:c>
      <x:c r="B114" s="271" t="n">
        <x:f>'新增市场空间'!H24</x:f>
        <x:v>171.36</x:v>
      </x:c>
      <x:c r="C114" s="272" t="n">
        <x:v>171.36</x:v>
      </x:c>
      <x:c r="D114" s="273" t="n">
        <x:f>B114-C114</x:f>
        <x:v>0</x:v>
      </x:c>
      <x:c r="E114" s="273" t="n">
        <x:v>0.001</x:v>
      </x:c>
      <x:c r="F114" s="263" t="str">
        <x:f>IF(ABS(D114)&lt;=E114,"OK","CHECK")</x:f>
        <x:v>OK</x:v>
      </x:c>
      <x:c r="G114" s="219" t="str">
        <x:v>行业池×公司份额</x:v>
      </x:c>
    </x:row>
    <x:row r="115">
      <x:c r="A115" s="219" t="str">
        <x:v>低情景海外复制设备池</x:v>
      </x:c>
      <x:c r="B115" s="271" t="n">
        <x:f>'新增市场空间'!D29</x:f>
        <x:v>90</x:v>
      </x:c>
      <x:c r="C115" s="272" t="n">
        <x:v>90</x:v>
      </x:c>
      <x:c r="D115" s="273" t="n">
        <x:f>B115-C115</x:f>
        <x:v>0</x:v>
      </x:c>
      <x:c r="E115" s="273" t="n">
        <x:v>0.001</x:v>
      </x:c>
      <x:c r="F115" s="263" t="str">
        <x:f>IF(ABS(D115)&lt;=E115,"OK","CHECK")</x:f>
        <x:v>OK</x:v>
      </x:c>
      <x:c r="G115" s="219" t="str">
        <x:v>设备量×ASP</x:v>
      </x:c>
    </x:row>
    <x:row r="116">
      <x:c r="A116" s="219" t="str">
        <x:v>中枢情景海外复制设备池</x:v>
      </x:c>
      <x:c r="B116" s="271" t="n">
        <x:f>'新增市场空间'!D30</x:f>
        <x:v>220</x:v>
      </x:c>
      <x:c r="C116" s="272" t="n">
        <x:v>220</x:v>
      </x:c>
      <x:c r="D116" s="273" t="n">
        <x:f>B116-C116</x:f>
        <x:v>0</x:v>
      </x:c>
      <x:c r="E116" s="273" t="n">
        <x:v>0.001</x:v>
      </x:c>
      <x:c r="F116" s="263" t="str">
        <x:f>IF(ABS(D116)&lt;=E116,"OK","CHECK")</x:f>
        <x:v>OK</x:v>
      </x:c>
      <x:c r="G116" s="219" t="str">
        <x:v>设备量×ASP</x:v>
      </x:c>
    </x:row>
    <x:row r="117">
      <x:c r="A117" s="219" t="str">
        <x:v>高情景海外复制设备池</x:v>
      </x:c>
      <x:c r="B117" s="271" t="n">
        <x:f>'新增市场空间'!D31</x:f>
        <x:v>420</x:v>
      </x:c>
      <x:c r="C117" s="272" t="n">
        <x:v>420</x:v>
      </x:c>
      <x:c r="D117" s="273" t="n">
        <x:f>B117-C117</x:f>
        <x:v>0</x:v>
      </x:c>
      <x:c r="E117" s="273" t="n">
        <x:v>0.001</x:v>
      </x:c>
      <x:c r="F117" s="263" t="str">
        <x:f>IF(ABS(D117)&lt;=E117,"OK","CHECK")</x:f>
        <x:v>OK</x:v>
      </x:c>
      <x:c r="G117" s="219" t="str">
        <x:v>设备量×ASP</x:v>
      </x:c>
    </x:row>
    <x:row r="118">
      <x:c r="A118" s="219" t="str">
        <x:v>A客户全部产品采购上限代理</x:v>
      </x:c>
      <x:c r="B118" s="271" t="n">
        <x:f>'新增市场空间'!B44</x:f>
        <x:v>13976.352000000003</x:v>
      </x:c>
      <x:c r="C118" s="272" t="n">
        <x:v>13976.352000000003</x:v>
      </x:c>
      <x:c r="D118" s="273" t="n">
        <x:f>B118-C118</x:f>
        <x:v>0</x:v>
      </x:c>
      <x:c r="E118" s="273" t="n">
        <x:v>0.001</x:v>
      </x:c>
      <x:c r="F118" s="263" t="str">
        <x:f>IF(ABS(D118)&lt;=E118,"OK","CHECK")</x:f>
        <x:v>OK</x:v>
      </x:c>
      <x:c r="G118" s="219" t="str">
        <x:v>产品成本×汇率</x:v>
      </x:c>
    </x:row>
    <x:row r="119">
      <x:c r="A119" s="219" t="str">
        <x:v>A客户年度玻璃加工池</x:v>
      </x:c>
      <x:c r="B119" s="271" t="n">
        <x:f>'新增市场空间'!B45</x:f>
        <x:v>33.6</x:v>
      </x:c>
      <x:c r="C119" s="272" t="n">
        <x:v>33.6</x:v>
      </x:c>
      <x:c r="D119" s="273" t="n">
        <x:f>B119-C119</x:f>
        <x:v>0</x:v>
      </x:c>
      <x:c r="E119" s="273" t="n">
        <x:v>0.001</x:v>
      </x:c>
      <x:c r="F119" s="263" t="str">
        <x:f>IF(ABS(D119)&lt;=E119,"OK","CHECK")</x:f>
        <x:v>OK</x:v>
      </x:c>
      <x:c r="G119" s="219" t="str">
        <x:v>终端池×放大系数×单价</x:v>
      </x:c>
    </x:row>
    <x:row r="120">
      <x:c r="A120" s="219" t="str">
        <x:v>A客户年度耗材池</x:v>
      </x:c>
      <x:c r="B120" s="271" t="n">
        <x:f>'新增市场空间'!B46</x:f>
        <x:v>25</x:v>
      </x:c>
      <x:c r="C120" s="272" t="n">
        <x:v>25</x:v>
      </x:c>
      <x:c r="D120" s="273" t="n">
        <x:f>B120-C120</x:f>
        <x:v>0</x:v>
      </x:c>
      <x:c r="E120" s="273" t="n">
        <x:v>0.001</x:v>
      </x:c>
      <x:c r="F120" s="263" t="str">
        <x:f>IF(ABS(D120)&lt;=E120,"OK","CHECK")</x:f>
        <x:v>OK</x:v>
      </x:c>
      <x:c r="G120" s="219" t="str">
        <x:v>网页研究口径</x:v>
      </x:c>
    </x:row>
    <x:row r="121">
      <x:c r="A121" s="219" t="str">
        <x:v>A客户设备周期池低情景</x:v>
      </x:c>
      <x:c r="B121" s="271" t="n">
        <x:f>'新增市场空间'!B50</x:f>
        <x:v>330.6</x:v>
      </x:c>
      <x:c r="C121" s="272" t="n">
        <x:v>330.6</x:v>
      </x:c>
      <x:c r="D121" s="273" t="n">
        <x:f>B121-C121</x:f>
        <x:v>0</x:v>
      </x:c>
      <x:c r="E121" s="273" t="n">
        <x:v>0.001</x:v>
      </x:c>
      <x:c r="F121" s="263" t="str">
        <x:f>IF(ABS(D121)&lt;=E121,"OK","CHECK")</x:f>
        <x:v>OK</x:v>
      </x:c>
      <x:c r="G121" s="219" t="str">
        <x:v>玻璃+金属+海外</x:v>
      </x:c>
    </x:row>
    <x:row r="122">
      <x:c r="A122" s="219" t="str">
        <x:v>A客户设备周期池中枢情景</x:v>
      </x:c>
      <x:c r="B122" s="271" t="n">
        <x:f>'新增市场空间'!C50</x:f>
        <x:v>562</x:v>
      </x:c>
      <x:c r="C122" s="272" t="n">
        <x:v>562</x:v>
      </x:c>
      <x:c r="D122" s="273" t="n">
        <x:f>B122-C122</x:f>
        <x:v>0</x:v>
      </x:c>
      <x:c r="E122" s="273" t="n">
        <x:v>0.001</x:v>
      </x:c>
      <x:c r="F122" s="263" t="str">
        <x:f>IF(ABS(D122)&lt;=E122,"OK","CHECK")</x:f>
        <x:v>OK</x:v>
      </x:c>
      <x:c r="G122" s="219" t="str">
        <x:v>玻璃+金属+海外</x:v>
      </x:c>
    </x:row>
    <x:row r="123">
      <x:c r="A123" s="219" t="str">
        <x:v>A客户设备周期池高情景</x:v>
      </x:c>
      <x:c r="B123" s="271" t="n">
        <x:f>'新增市场空间'!D50</x:f>
        <x:v>908.4</x:v>
      </x:c>
      <x:c r="C123" s="272" t="n">
        <x:v>908.4</x:v>
      </x:c>
      <x:c r="D123" s="273" t="n">
        <x:f>B123-C123</x:f>
        <x:v>0</x:v>
      </x:c>
      <x:c r="E123" s="273" t="n">
        <x:v>0.001</x:v>
      </x:c>
      <x:c r="F123" s="263" t="str">
        <x:f>IF(ABS(D123)&lt;=E123,"OK","CHECK")</x:f>
        <x:v>OK</x:v>
      </x:c>
      <x:c r="G123" s="219" t="str">
        <x:v>玻璃+金属+海外</x:v>
      </x:c>
    </x:row>
    <x:row r="124">
      <x:c r="A124" s="219" t="str">
        <x:v>金刚石铜2026行业价值池</x:v>
      </x:c>
      <x:c r="B124" s="271" t="n">
        <x:f>'新增市场空间'!E6</x:f>
        <x:v>30</x:v>
      </x:c>
      <x:c r="C124" s="272" t="n">
        <x:v>30</x:v>
      </x:c>
      <x:c r="D124" s="273" t="n">
        <x:f>B124-C124</x:f>
        <x:v>0</x:v>
      </x:c>
      <x:c r="E124" s="273" t="n">
        <x:v>0.000001</x:v>
      </x:c>
      <x:c r="F124" s="263" t="str">
        <x:f>IF(ABS(D124)&lt;=E124,"OK","CHECK")</x:f>
        <x:v>OK</x:v>
      </x:c>
      <x:c r="G124" s="219" t="str">
        <x:v>模块数×采用率×单价</x:v>
      </x:c>
    </x:row>
    <x:row r="125">
      <x:c r="A125" s="219" t="str">
        <x:v>金刚石铜2026公司可触及收入</x:v>
      </x:c>
      <x:c r="B125" s="271" t="n">
        <x:f>'新增市场空间'!G6</x:f>
        <x:v>1.5</x:v>
      </x:c>
      <x:c r="C125" s="272" t="n">
        <x:v>1.5</x:v>
      </x:c>
      <x:c r="D125" s="273" t="n">
        <x:f>B125-C125</x:f>
        <x:v>0</x:v>
      </x:c>
      <x:c r="E125" s="273" t="n">
        <x:v>0.000001</x:v>
      </x:c>
      <x:c r="F125" s="263" t="str">
        <x:f>IF(ABS(D125)&lt;=E125,"OK","CHECK")</x:f>
        <x:v>OK</x:v>
      </x:c>
      <x:c r="G125" s="219" t="str">
        <x:v>行业池×可触及份额</x:v>
      </x:c>
    </x:row>
    <x:row r="126">
      <x:c r="A126" s="219" t="str">
        <x:v>金刚石铜2027行业价值池</x:v>
      </x:c>
      <x:c r="B126" s="271" t="n">
        <x:f>'新增市场空间'!E7</x:f>
        <x:v>112</x:v>
      </x:c>
      <x:c r="C126" s="272" t="n">
        <x:v>112</x:v>
      </x:c>
      <x:c r="D126" s="273" t="n">
        <x:f>B126-C126</x:f>
        <x:v>0</x:v>
      </x:c>
      <x:c r="E126" s="273" t="n">
        <x:v>0.000001</x:v>
      </x:c>
      <x:c r="F126" s="263" t="str">
        <x:f>IF(ABS(D126)&lt;=E126,"OK","CHECK")</x:f>
        <x:v>OK</x:v>
      </x:c>
      <x:c r="G126" s="219" t="str">
        <x:v>模块数×采用率×单价</x:v>
      </x:c>
    </x:row>
    <x:row r="127">
      <x:c r="A127" s="219" t="str">
        <x:v>金刚石铜2027公司可触及收入</x:v>
      </x:c>
      <x:c r="B127" s="271" t="n">
        <x:f>'新增市场空间'!G7</x:f>
        <x:v>8.96</x:v>
      </x:c>
      <x:c r="C127" s="272" t="n">
        <x:v>8.96</x:v>
      </x:c>
      <x:c r="D127" s="273" t="n">
        <x:f>B127-C127</x:f>
        <x:v>0</x:v>
      </x:c>
      <x:c r="E127" s="273" t="n">
        <x:v>0.000001</x:v>
      </x:c>
      <x:c r="F127" s="263" t="str">
        <x:f>IF(ABS(D127)&lt;=E127,"OK","CHECK")</x:f>
        <x:v>OK</x:v>
      </x:c>
      <x:c r="G127" s="219" t="str">
        <x:v>行业池×可触及份额</x:v>
      </x:c>
    </x:row>
    <x:row r="128">
      <x:c r="A128" s="219" t="str">
        <x:v>金刚石铜2028行业价值池</x:v>
      </x:c>
      <x:c r="B128" s="271" t="n">
        <x:f>'新增市场空间'!E8</x:f>
        <x:v>364</x:v>
      </x:c>
      <x:c r="C128" s="272" t="n">
        <x:v>364</x:v>
      </x:c>
      <x:c r="D128" s="273" t="n">
        <x:f>B128-C128</x:f>
        <x:v>0</x:v>
      </x:c>
      <x:c r="E128" s="273" t="n">
        <x:v>0.000001</x:v>
      </x:c>
      <x:c r="F128" s="263" t="str">
        <x:f>IF(ABS(D128)&lt;=E128,"OK","CHECK")</x:f>
        <x:v>OK</x:v>
      </x:c>
      <x:c r="G128" s="219" t="str">
        <x:v>模块数×采用率×单价</x:v>
      </x:c>
    </x:row>
    <x:row r="129">
      <x:c r="A129" s="219" t="str">
        <x:v>金刚石铜2028公司可触及收入</x:v>
      </x:c>
      <x:c r="B129" s="271" t="n">
        <x:f>'新增市场空间'!G8</x:f>
        <x:v>43.68</x:v>
      </x:c>
      <x:c r="C129" s="272" t="n">
        <x:v>43.68</x:v>
      </x:c>
      <x:c r="D129" s="273" t="n">
        <x:f>B129-C129</x:f>
        <x:v>0</x:v>
      </x:c>
      <x:c r="E129" s="273" t="n">
        <x:v>0.000001</x:v>
      </x:c>
      <x:c r="F129" s="263" t="str">
        <x:f>IF(ABS(D129)&lt;=E129,"OK","CHECK")</x:f>
        <x:v>OK</x:v>
      </x:c>
      <x:c r="G129" s="219" t="str">
        <x:v>行业池×可触及份额</x:v>
      </x:c>
    </x:row>
    <x:row r="130">
      <x:c r="A130" s="219" t="str">
        <x:v>金刚石铜2029行业价值池</x:v>
      </x:c>
      <x:c r="B130" s="271" t="n">
        <x:f>'新增市场空间'!E9</x:f>
        <x:v>924.0000000000001</x:v>
      </x:c>
      <x:c r="C130" s="272" t="n">
        <x:v>924</x:v>
      </x:c>
      <x:c r="D130" s="273" t="n">
        <x:f>B130-C130</x:f>
        <x:v>1.1368683772161603e-13</x:v>
      </x:c>
      <x:c r="E130" s="273" t="n">
        <x:v>0.000001</x:v>
      </x:c>
      <x:c r="F130" s="263" t="str">
        <x:f>IF(ABS(D130)&lt;=E130,"OK","CHECK")</x:f>
        <x:v>OK</x:v>
      </x:c>
      <x:c r="G130" s="219" t="str">
        <x:v>模块数×采用率×单价</x:v>
      </x:c>
    </x:row>
    <x:row r="131">
      <x:c r="A131" s="219" t="str">
        <x:v>金刚石铜2029公司可触及收入</x:v>
      </x:c>
      <x:c r="B131" s="271" t="n">
        <x:f>'新增市场空间'!G9</x:f>
        <x:v>138.60000000000002</x:v>
      </x:c>
      <x:c r="C131" s="272" t="n">
        <x:v>138.6</x:v>
      </x:c>
      <x:c r="D131" s="273" t="n">
        <x:f>B131-C131</x:f>
        <x:v>2.842170943040401e-14</x:v>
      </x:c>
      <x:c r="E131" s="273" t="n">
        <x:v>0.000001</x:v>
      </x:c>
      <x:c r="F131" s="263" t="str">
        <x:f>IF(ABS(D131)&lt;=E131,"OK","CHECK")</x:f>
        <x:v>OK</x:v>
      </x:c>
      <x:c r="G131" s="219" t="str">
        <x:v>行业池×可触及份额</x:v>
      </x:c>
    </x:row>
    <x:row r="132">
      <x:c r="A132" s="219" t="str">
        <x:v>金刚石铜2030行业价值池</x:v>
      </x:c>
      <x:c r="B132" s="271" t="n">
        <x:f>'新增市场空间'!E10</x:f>
        <x:v>1760</x:v>
      </x:c>
      <x:c r="C132" s="272" t="n">
        <x:v>1760</x:v>
      </x:c>
      <x:c r="D132" s="273" t="n">
        <x:f>B132-C132</x:f>
        <x:v>0</x:v>
      </x:c>
      <x:c r="E132" s="273" t="n">
        <x:v>0.000001</x:v>
      </x:c>
      <x:c r="F132" s="263" t="str">
        <x:f>IF(ABS(D132)&lt;=E132,"OK","CHECK")</x:f>
        <x:v>OK</x:v>
      </x:c>
      <x:c r="G132" s="219" t="str">
        <x:v>模块数×采用率×单价</x:v>
      </x:c>
    </x:row>
    <x:row r="133">
      <x:c r="A133" s="219" t="str">
        <x:v>金刚石铜2030公司可触及收入</x:v>
      </x:c>
      <x:c r="B133" s="271" t="n">
        <x:f>'新增市场空间'!G10</x:f>
        <x:v>316.8</x:v>
      </x:c>
      <x:c r="C133" s="272" t="n">
        <x:v>316.8</x:v>
      </x:c>
      <x:c r="D133" s="273" t="n">
        <x:f>B133-C133</x:f>
        <x:v>0</x:v>
      </x:c>
      <x:c r="E133" s="273" t="n">
        <x:v>0.000001</x:v>
      </x:c>
      <x:c r="F133" s="263" t="str">
        <x:f>IF(ABS(D133)&lt;=E133,"OK","CHECK")</x:f>
        <x:v>OK</x:v>
      </x:c>
      <x:c r="G133" s="219" t="str">
        <x:v>行业池×可触及份额</x:v>
      </x:c>
    </x:row>
    <x:row r="134">
      <x:c r="A134" s="219" t="str">
        <x:v>期权估值项目数=4</x:v>
      </x:c>
      <x:c r="B134" s="271" t="n">
        <x:f>COUNTA('增长点与期权'!A35:A38)</x:f>
        <x:v>4</x:v>
      </x:c>
      <x:c r="C134" s="272" t="n">
        <x:v>4</x:v>
      </x:c>
      <x:c r="D134" s="273" t="n">
        <x:f>B134-C134</x:f>
        <x:v>0</x:v>
      </x:c>
      <x:c r="E134" s="273" t="n">
        <x:v>0</x:v>
      </x:c>
      <x:c r="F134" s="263" t="str">
        <x:f>IF(ABS(D134)&lt;=E134,"OK","CHECK")</x:f>
        <x:v>OK</x:v>
      </x:c>
      <x:c r="G134" s="219" t="str">
        <x:v>机器人/玻璃基板/金刚石铜/耕驰</x:v>
      </x:c>
    </x:row>
    <x:row r="135">
      <x:c r="A135" s="219" t="str">
        <x:v>网页证据池E01—E51完整</x:v>
      </x:c>
      <x:c r="B135" s="271" t="n">
        <x:f>COUNTA('来源审计'!A6:A56)</x:f>
        <x:v>51</x:v>
      </x:c>
      <x:c r="C135" s="272" t="n">
        <x:v>51</x:v>
      </x:c>
      <x:c r="D135" s="273" t="n">
        <x:f>B135-C135</x:f>
        <x:v>0</x:v>
      </x:c>
      <x:c r="E135" s="273" t="n">
        <x:v>0</x:v>
      </x:c>
      <x:c r="F135" s="263" t="str">
        <x:f>IF(ABS(D135)&lt;=E135,"OK","CHECK")</x:f>
        <x:v>OK</x:v>
      </x:c>
      <x:c r="G135" s="219" t="str">
        <x:v>证据ID与网页一一对应</x:v>
      </x:c>
    </x:row>
    <x:row r="136">
      <x:c r="A136" s="219" t="str">
        <x:v>网页同步模块全部OK</x:v>
      </x:c>
      <x:c r="B136" s="271" t="n">
        <x:f>COUNTIF('网页同步核对'!E122:E140,"OK")</x:f>
        <x:v>19</x:v>
      </x:c>
      <x:c r="C136" s="272" t="n">
        <x:v>19</x:v>
      </x:c>
      <x:c r="D136" s="273" t="n">
        <x:f>B136-C136</x:f>
        <x:v>0</x:v>
      </x:c>
      <x:c r="E136" s="273" t="n">
        <x:v>0</x:v>
      </x:c>
      <x:c r="F136" s="263" t="str">
        <x:f>IF(ABS(D136)&lt;=E136,"OK","CHECK")</x:f>
        <x:v>OK</x:v>
      </x:c>
      <x:c r="G136" s="219" t="str">
        <x:v>完整性核对</x:v>
      </x:c>
    </x:row>
  </x:sheetData>
  <x:mergeCells>
    <x:mergeCell ref="A1:G1"/>
    <x:mergeCell ref="A2:G2"/>
    <x:mergeCell ref="A102:G102"/>
  </x:mergeCells>
  <x:conditionalFormatting sqref="F6:F101">
    <x:cfRule type="containsText" dxfId="6" priority="1" operator="containsText" text="OK"/>
    <x:cfRule type="containsText" dxfId="7" priority="2" operator="containsText" text="CHECK"/>
  </x:conditionalFormatting>
  <x:pageMargins left="0.7" right="0.7" top="0.75" bottom="0.75" header="0.3" footer="0.3"/>
</x:worksheet>
</file>

<file path=xl/worksheets/sheet13.xml><?xml version="1.0" encoding="utf-8"?>
<x:worksheet xmlns:x="http://schemas.openxmlformats.org/spreadsheetml/2006/main">
  <x:sheetViews>
    <x:sheetView showGridLines="0" workbookViewId="0"/>
  </x:sheetViews>
  <x:sheetFormatPr defaultRowHeight="15"/>
  <x:cols>
    <x:col min="1" max="1" width="11" hidden="0" customWidth="1"/>
    <x:col min="2" max="2" width="14" hidden="0" customWidth="1"/>
    <x:col min="3" max="3" width="14" hidden="0" customWidth="1"/>
    <x:col min="4" max="4" width="24" hidden="0" customWidth="1"/>
    <x:col min="5" max="5" width="72" hidden="0" customWidth="1"/>
    <x:col min="6" max="6" width="68" hidden="0" customWidth="1"/>
    <x:col min="7" max="7" width="46" hidden="0" customWidth="1"/>
  </x:cols>
  <x:sheetData>
    <x:row r="1" ht="30" customHeight="1">
      <x:c r="A1" s="243" t="str">
        <x:v>来源与证据审计</x:v>
      </x:c>
      <x:c r="B1" s="243" t="str">
        <x:v>来源与证据审计</x:v>
      </x:c>
      <x:c r="C1" s="243" t="str">
        <x:v>来源与证据审计</x:v>
      </x:c>
      <x:c r="D1" s="243" t="str">
        <x:v>来源与证据审计</x:v>
      </x:c>
      <x:c r="E1" s="243" t="str">
        <x:v>来源与证据审计</x:v>
      </x:c>
      <x:c r="F1" s="243" t="str">
        <x:v>来源与证据审计</x:v>
      </x:c>
      <x:c r="G1" s="243" t="str">
        <x:v>来源与证据审计</x:v>
      </x:c>
    </x:row>
    <x:row r="2" ht="28" customHeight="1">
      <x:c r="A2" s="246" t="str">
        <x:v>证据ID与网页证据池E01—E51一一对应；公开资料与产业调研分列。模型公式继续使用M编号，避免与证据ID混淆。</x:v>
      </x:c>
      <x:c r="B2" s="246" t="str">
        <x:v>证据ID与网页证据池E01—E51一一对应；公开资料与产业调研分列。模型公式继续使用M编号，避免与证据ID混淆。</x:v>
      </x:c>
      <x:c r="C2" s="246" t="str">
        <x:v>证据ID与网页证据池E01—E51一一对应；公开资料与产业调研分列。模型公式继续使用M编号，避免与证据ID混淆。</x:v>
      </x:c>
      <x:c r="D2" s="246" t="str">
        <x:v>证据ID与网页证据池E01—E51一一对应；公开资料与产业调研分列。模型公式继续使用M编号，避免与证据ID混淆。</x:v>
      </x:c>
      <x:c r="E2" s="246" t="str">
        <x:v>证据ID与网页证据池E01—E51一一对应；公开资料与产业调研分列。模型公式继续使用M编号，避免与证据ID混淆。</x:v>
      </x:c>
      <x:c r="F2" s="246" t="str">
        <x:v>证据ID与网页证据池E01—E51一一对应；公开资料与产业调研分列。模型公式继续使用M编号，避免与证据ID混淆。</x:v>
      </x:c>
      <x:c r="G2" s="246" t="str">
        <x:v>证据ID与网页证据池E01—E51一一对应；公开资料与产业调研分列。模型公式继续使用M编号，避免与证据ID混淆。</x:v>
      </x:c>
    </x:row>
    <x:row r="5">
      <x:c r="A5" s="216" t="str">
        <x:v>证据ID</x:v>
      </x:c>
      <x:c r="B5" s="216" t="str">
        <x:v>日期</x:v>
      </x:c>
      <x:c r="C5" s="216" t="str">
        <x:v>来源类型</x:v>
      </x:c>
      <x:c r="D5" s="216" t="str">
        <x:v>类别</x:v>
      </x:c>
      <x:c r="E5" s="216" t="str">
        <x:v>标题与摘要</x:v>
      </x:c>
      <x:c r="F5" s="216" t="str">
        <x:v>URL / 本地材料</x:v>
      </x:c>
      <x:c r="G5" s="216" t="str">
        <x:v>来源与标签</x:v>
      </x:c>
    </x:row>
    <x:row r="6" ht="54" customHeight="1">
      <x:c r="A6" s="259" t="str">
        <x:v>E01</x:v>
      </x:c>
      <x:c r="B6" s="219" t="str">
        <x:v>2022-04-12</x:v>
      </x:c>
      <x:c r="C6" s="259" t="str">
        <x:v>公开资料</x:v>
      </x:c>
      <x:c r="D6" s="219" t="str">
        <x:v>公司与财务</x:v>
      </x:c>
      <x:c r="E6" s="219" t="str">
        <x:v>2021年年度报告：提供2021年收入、利润、现金流和资产负债表历史基准。</x:v>
      </x:c>
      <x:c r="F6" s="260" t="str">
        <x:v>https://static.cninfo.com.cn/finalpage/2022-04-12/1212887556.PDF</x:v>
      </x:c>
      <x:c r="G6" s="219" t="str">
        <x:v>岱勒新材；标签：历史财务、年报</x:v>
      </x:c>
    </x:row>
    <x:row r="7" ht="54" customHeight="1">
      <x:c r="A7" s="259" t="str">
        <x:v>E02</x:v>
      </x:c>
      <x:c r="B7" s="219" t="str">
        <x:v>2023-03-04</x:v>
      </x:c>
      <x:c r="C7" s="259" t="str">
        <x:v>公开资料</x:v>
      </x:c>
      <x:c r="D7" s="219" t="str">
        <x:v>公司与财务</x:v>
      </x:c>
      <x:c r="E7" s="219" t="str">
        <x:v>2022年年度报告：提供2022年收入、利润、毛利率和产能扩张数据。</x:v>
      </x:c>
      <x:c r="F7" s="260" t="str">
        <x:v>https://static.cninfo.com.cn/finalpage/2023-03-04/1216050813.PDF</x:v>
      </x:c>
      <x:c r="G7" s="219" t="str">
        <x:v>岱勒新材；标签：历史财务、年报</x:v>
      </x:c>
    </x:row>
    <x:row r="8" ht="54" customHeight="1">
      <x:c r="A8" s="259" t="str">
        <x:v>E03</x:v>
      </x:c>
      <x:c r="B8" s="219" t="str">
        <x:v>2024-03-28</x:v>
      </x:c>
      <x:c r="C8" s="259" t="str">
        <x:v>公开资料</x:v>
      </x:c>
      <x:c r="D8" s="219" t="str">
        <x:v>公司与财务</x:v>
      </x:c>
      <x:c r="E8" s="219" t="str">
        <x:v>2023年年度报告：提供2023年收入8.48亿元、归母净利润1.12亿元等周期高点数据。</x:v>
      </x:c>
      <x:c r="F8" s="260" t="str">
        <x:v>https://static.cninfo.com.cn/finalpage/2024-03-28/1219423821.PDF</x:v>
      </x:c>
      <x:c r="G8" s="219" t="str">
        <x:v>岱勒新材；标签：历史财务、年报</x:v>
      </x:c>
    </x:row>
    <x:row r="9" ht="54" customHeight="1">
      <x:c r="A9" s="259" t="str">
        <x:v>E04</x:v>
      </x:c>
      <x:c r="B9" s="219" t="str">
        <x:v>2025-04-24</x:v>
      </x:c>
      <x:c r="C9" s="259" t="str">
        <x:v>公开资料</x:v>
      </x:c>
      <x:c r="D9" s="219" t="str">
        <x:v>公司与财务</x:v>
      </x:c>
      <x:c r="E9" s="219" t="str">
        <x:v>2024年年度报告：记录光伏金刚石线价格下行期的收入、毛利和减值变化。</x:v>
      </x:c>
      <x:c r="F9" s="260" t="str">
        <x:v>https://static.cninfo.com.cn/finalpage/2025-04-24/1223236600.PDF</x:v>
      </x:c>
      <x:c r="G9" s="219" t="str">
        <x:v>岱勒新材；标签：历史财务、光伏、年报</x:v>
      </x:c>
    </x:row>
    <x:row r="10" ht="54" customHeight="1">
      <x:c r="A10" s="259" t="str">
        <x:v>E05</x:v>
      </x:c>
      <x:c r="B10" s="219" t="str">
        <x:v>2026-04-25</x:v>
      </x:c>
      <x:c r="C10" s="259" t="str">
        <x:v>公开资料</x:v>
      </x:c>
      <x:c r="D10" s="219" t="str">
        <x:v>公司与财务</x:v>
      </x:c>
      <x:c r="E10" s="219" t="str">
        <x:v>2025年年度报告：披露2025年收入4.50亿元、消费电子收入3,490万元，以及加工和耗材平台经营数据。</x:v>
      </x:c>
      <x:c r="F10" s="260" t="str">
        <x:v>https://static.cninfo.com.cn/finalpage/2026-04-25/1225176273.PDF</x:v>
      </x:c>
      <x:c r="G10" s="219" t="str">
        <x:v>岱勒新材；标签：历史财务、消费电子、子公司</x:v>
      </x:c>
    </x:row>
    <x:row r="11" ht="54" customHeight="1">
      <x:c r="A11" s="259" t="str">
        <x:v>E06</x:v>
      </x:c>
      <x:c r="B11" s="219" t="str">
        <x:v>2026-04-27</x:v>
      </x:c>
      <x:c r="C11" s="259" t="str">
        <x:v>公开资料</x:v>
      </x:c>
      <x:c r="D11" s="219" t="str">
        <x:v>公司与财务</x:v>
      </x:c>
      <x:c r="E11" s="219" t="str">
        <x:v>2026年第一季度报告：收入1.21亿元、毛利率24.89%、归母净利润246.4万元、经营现金流1,650万元。</x:v>
      </x:c>
      <x:c r="F11" s="260" t="str">
        <x:v>https://static.cninfo.com.cn/finalpage/2026-04-27/1225197952.PDF</x:v>
      </x:c>
      <x:c r="G11" s="219" t="str">
        <x:v>岱勒新材；标签：最新财务、季度报告</x:v>
      </x:c>
    </x:row>
    <x:row r="12" ht="54" customHeight="1">
      <x:c r="A12" s="259" t="str">
        <x:v>E07</x:v>
      </x:c>
      <x:c r="B12" s="219" t="str">
        <x:v>2026-07-20</x:v>
      </x:c>
      <x:c r="C12" s="259" t="str">
        <x:v>公开资料</x:v>
      </x:c>
      <x:c r="D12" s="219" t="str">
        <x:v>公司与财务</x:v>
      </x:c>
      <x:c r="E12" s="219" t="str">
        <x:v>2026年半年度业绩预告：上半年归母净利润750—850万元，扣非净利润600—700万元。</x:v>
      </x:c>
      <x:c r="F12" s="260" t="str">
        <x:v>https://static.cninfo.com.cn/finalpage/2026-07-20/1225431458.PDF</x:v>
      </x:c>
      <x:c r="G12" s="219" t="str">
        <x:v>岱勒新材；标签：最新财务、业绩预告</x:v>
      </x:c>
    </x:row>
    <x:row r="13" ht="54" customHeight="1">
      <x:c r="A13" s="259" t="str">
        <x:v>E08</x:v>
      </x:c>
      <x:c r="B13" s="219" t="str">
        <x:v>2025-07-11</x:v>
      </x:c>
      <x:c r="C13" s="259" t="str">
        <x:v>公开资料</x:v>
      </x:c>
      <x:c r="D13" s="219" t="str">
        <x:v>消费电子加工</x:v>
      </x:c>
      <x:c r="E13" s="219" t="str">
        <x:v>设立惠州加工合资公司公告：上市公司持股90%，合作方持股10%，平台承接精密线切割加工业务。</x:v>
      </x:c>
      <x:c r="F13" s="260" t="str">
        <x:v>https://static.cninfo.com.cn/finalpage/2025-07-11/1224143572.PDF</x:v>
      </x:c>
      <x:c r="G13" s="219" t="str">
        <x:v>岱勒新材；标签：加工、少数股东、合资公司</x:v>
      </x:c>
    </x:row>
    <x:row r="14" ht="54" customHeight="1">
      <x:c r="A14" s="259" t="str">
        <x:v>E09</x:v>
      </x:c>
      <x:c r="B14" s="219" t="str">
        <x:v>2026-02-03</x:v>
      </x:c>
      <x:c r="C14" s="259" t="str">
        <x:v>公开资料</x:v>
      </x:c>
      <x:c r="D14" s="219" t="str">
        <x:v>设备</x:v>
      </x:c>
      <x:c r="E14" s="219" t="str">
        <x:v>设立捷泰智造公告：上市公司持股51%，业务范围覆盖数控机床、智能装备、电子专用设备和材料。</x:v>
      </x:c>
      <x:c r="F14" s="260" t="str">
        <x:v>https://static.cninfo.com.cn/finalpage/2026-02-03/1224965309.PDF</x:v>
      </x:c>
      <x:c r="G14" s="219" t="str">
        <x:v>岱勒新材；标签：设备、少数股东、合资公司</x:v>
      </x:c>
    </x:row>
    <x:row r="15" ht="54" customHeight="1">
      <x:c r="A15" s="259" t="str">
        <x:v>E10</x:v>
      </x:c>
      <x:c r="B15" s="219" t="str">
        <x:v>2026-05-08</x:v>
      </x:c>
      <x:c r="C15" s="259" t="str">
        <x:v>公开资料</x:v>
      </x:c>
      <x:c r="D15" s="219" t="str">
        <x:v>切割线</x:v>
      </x:c>
      <x:c r="E15" s="219" t="str">
        <x:v>投资者关系活动记录：披露惠州加工扩产、20μm钨丝金刚线量产和非光伏业务拓展方向。</x:v>
      </x:c>
      <x:c r="F15" s="260" t="str">
        <x:v>https://pdf.dfcfw.com/pdf/H2_AN202605081822073989_1.pdf</x:v>
      </x:c>
      <x:c r="G15" s="219" t="str">
        <x:v>岱勒新材；标签：切割线、加工、业务进展</x:v>
      </x:c>
    </x:row>
    <x:row r="16" ht="54" customHeight="1">
      <x:c r="A16" s="259" t="str">
        <x:v>E11</x:v>
      </x:c>
      <x:c r="B16" s="219" t="str">
        <x:v>2025-03-05</x:v>
      </x:c>
      <x:c r="C16" s="259" t="str">
        <x:v>公开资料</x:v>
      </x:c>
      <x:c r="D16" s="219" t="str">
        <x:v>公司与财务</x:v>
      </x:c>
      <x:c r="E16" s="219" t="str">
        <x:v>光伏重大合同到期进展公告：9.2亿元框架协议实际交易3.72亿元，执行期产品价格累计下降约70%。</x:v>
      </x:c>
      <x:c r="F16" s="260" t="str">
        <x:v>https://static.cninfo.com.cn/finalpage/2025-03-05/1222719733.PDF</x:v>
      </x:c>
      <x:c r="G16" s="219" t="str">
        <x:v>岱勒新材；标签：光伏、价格周期、合同</x:v>
      </x:c>
    </x:row>
    <x:row r="17" ht="54" customHeight="1">
      <x:c r="A17" s="259" t="str">
        <x:v>E12</x:v>
      </x:c>
      <x:c r="B17" s="219" t="str">
        <x:v>2026-06-10</x:v>
      </x:c>
      <x:c r="C17" s="259" t="str">
        <x:v>调研信息</x:v>
      </x:c>
      <x:c r="D17" s="219" t="str">
        <x:v>公司与财务</x:v>
      </x:c>
      <x:c r="E17" s="219" t="str">
        <x:v>岱勒新材产业链调研整理：覆盖A客户加工、设备与耗材，以及石材、磁材、金属切割、机器人钨丝、氢能储能、玻璃基板CMP、散热材料和高纯石英等增长方向。</x:v>
      </x:c>
      <x:c r="F17" s="260" t="str">
        <x:v>岱勒新材交流 20260610.md</x:v>
      </x:c>
      <x:c r="G17" s="219" t="str">
        <x:v>行业调研；标签：A客户、加工、设备、耗材、非光伏、机器人、储能、半导体</x:v>
      </x:c>
    </x:row>
    <x:row r="18" ht="54" customHeight="1">
      <x:c r="A18" s="259" t="str">
        <x:v>E13</x:v>
      </x:c>
      <x:c r="B18" s="219" t="str">
        <x:v>2026-08-19</x:v>
      </x:c>
      <x:c r="C18" s="259" t="str">
        <x:v>调研信息</x:v>
      </x:c>
      <x:c r="D18" s="219" t="str">
        <x:v>耗材</x:v>
      </x:c>
      <x:c r="E18" s="219" t="str">
        <x:v>电子专用新材料产品册：展示切、磨、抛、洗、光刻、表面保护和散热材料，以及玻璃、磁性材料和金属线切割能力。</x:v>
      </x:c>
      <x:c r="F18" s="260" t="str">
        <x:v>微信图片_20260819130923_10_1147.jpg</x:v>
      </x:c>
      <x:c r="G18" s="219" t="str">
        <x:v>产品资料；标签：耗材、产品矩阵、加工</x:v>
      </x:c>
    </x:row>
    <x:row r="19" ht="54" customHeight="1">
      <x:c r="A19" s="259" t="str">
        <x:v>E14</x:v>
      </x:c>
      <x:c r="B19" s="219" t="str">
        <x:v>2026-08-19</x:v>
      </x:c>
      <x:c r="C19" s="259" t="str">
        <x:v>调研信息</x:v>
      </x:c>
      <x:c r="D19" s="219" t="str">
        <x:v>消费电子加工</x:v>
      </x:c>
      <x:c r="E19" s="219" t="str">
        <x:v>消费电子供应链研究整理图：梳理消费电子加工、传统与新工艺耗材、设备业务及国内手机客户拓展。</x:v>
      </x:c>
      <x:c r="F19" s="260" t="str">
        <x:v>微信图片_20260819130333_9_1147.png</x:v>
      </x:c>
      <x:c r="G19" s="219" t="str">
        <x:v>产业链研究资料；标签：A客户、供应链、加工、设备、耗材</x:v>
      </x:c>
    </x:row>
    <x:row r="20" ht="54" customHeight="1">
      <x:c r="A20" s="259" t="str">
        <x:v>E15</x:v>
      </x:c>
      <x:c r="B20" s="219" t="str">
        <x:v>2026-04-29</x:v>
      </x:c>
      <x:c r="C20" s="259" t="str">
        <x:v>公开资料</x:v>
      </x:c>
      <x:c r="D20" s="219" t="str">
        <x:v>市场与可比</x:v>
      </x:c>
      <x:c r="E20" s="219" t="str">
        <x:v>宇晶股份2025年年度报告：精密切磨抛设备收入6.11亿元、销量442台、毛利率32.25%，用于设备台数和毛利对照。</x:v>
      </x:c>
      <x:c r="F20" s="260" t="str">
        <x:v>https://static.cninfo.com.cn/finalpage/2026-04-29/1225245690.PDF</x:v>
      </x:c>
      <x:c r="G20" s="219" t="str">
        <x:v>宇晶股份；标签：设备、可比公司、ASP</x:v>
      </x:c>
    </x:row>
    <x:row r="21" ht="54" customHeight="1">
      <x:c r="A21" s="259" t="str">
        <x:v>E16</x:v>
      </x:c>
      <x:c r="B21" s="219" t="str">
        <x:v>2026-03-18</x:v>
      </x:c>
      <x:c r="C21" s="259" t="str">
        <x:v>公开资料</x:v>
      </x:c>
      <x:c r="D21" s="219" t="str">
        <x:v>市场与可比</x:v>
      </x:c>
      <x:c r="E21" s="219" t="str">
        <x:v>三超新材2025年年度报告：电镀金刚线毛利率7.53%、金刚石砂轮毛利率51.21%，用于耗材与工具毛利区间对照。</x:v>
      </x:c>
      <x:c r="F21" s="260" t="str">
        <x:v>https://disc.static.szse.cn/disc/disk03/finalpage/2026-03-18/ae5b9c38-ad27-4f6b-8cb9-ed9ef6379ff3.PDF</x:v>
      </x:c>
      <x:c r="G21" s="219" t="str">
        <x:v>三超新材；标签：切割线、耗材、可比公司</x:v>
      </x:c>
    </x:row>
    <x:row r="22" ht="54" customHeight="1">
      <x:c r="A22" s="259" t="str">
        <x:v>E17</x:v>
      </x:c>
      <x:c r="B22" s="219" t="str">
        <x:v>2018-09-14</x:v>
      </x:c>
      <x:c r="C22" s="259" t="str">
        <x:v>公开资料</x:v>
      </x:c>
      <x:c r="D22" s="219" t="str">
        <x:v>切割线</x:v>
      </x:c>
      <x:c r="E22" s="219" t="str">
        <x:v>金刚石线切割专利示例：示例显示3.5公里金刚石线可完成约650—1,220片切割，用于单片线耗价值校准。</x:v>
      </x:c>
      <x:c r="F22" s="260" t="str">
        <x:v>https://patents.google.com/patent/CN108527114A/zh</x:v>
      </x:c>
      <x:c r="G22" s="219" t="str">
        <x:v>国家知识产权公开资料；标签：切割线、单耗、专利</x:v>
      </x:c>
    </x:row>
    <x:row r="23" ht="54" customHeight="1">
      <x:c r="A23" s="259" t="str">
        <x:v>E18</x:v>
      </x:c>
      <x:c r="B23" s="219" t="str">
        <x:v>2026-08-21</x:v>
      </x:c>
      <x:c r="C23" s="259" t="str">
        <x:v>公开资料</x:v>
      </x:c>
      <x:c r="D23" s="219" t="str">
        <x:v>消费电子加工</x:v>
      </x:c>
      <x:c r="E23" s="219" t="str">
        <x:v>伯恩光学公司介绍与业务版图：伯恩披露其为全球领先的智能设备外观结构及模组方案提供商，拥有九大生产基地、年产能25亿件，产品覆盖2D、2.5D、3D与UTG盖板玻璃。</x:v>
      </x:c>
      <x:c r="F23" s="260" t="str">
        <x:v>https://www.bielcrystal.com/cn/news/%E4%BC%AF%E6%81%A9%E5%85%89%E5%AD%A6%E5%AE%98%E6%96%B9%E7%AE%80%E4%BB%8B/</x:v>
      </x:c>
      <x:c r="G23" s="219" t="str">
        <x:v>伯恩光学；标签：伯恩精密、玻璃盖板、产业链</x:v>
      </x:c>
    </x:row>
    <x:row r="24" ht="54" customHeight="1">
      <x:c r="A24" s="259" t="str">
        <x:v>E19</x:v>
      </x:c>
      <x:c r="B24" s="219" t="str">
        <x:v>2022-09-30</x:v>
      </x:c>
      <x:c r="C24" s="259" t="str">
        <x:v>公开资料</x:v>
      </x:c>
      <x:c r="D24" s="219" t="str">
        <x:v>消费电子加工</x:v>
      </x:c>
      <x:c r="E24" s="219" t="str">
        <x:v>A客户供应链清洁能源项目更新：A客户官方供应链项目资料将Biel列入供应链协作企业，用于确认伯恩的A客户供应链参与者身份；公开资料不验证具体机型、工序或份额。</x:v>
      </x:c>
      <x:c r="F24" s="260" t="str">
        <x:v>https://images.apple.com/ua/environment/pdf/Apple_Supplier_Clean_Energy_Program_Update_2022.pdf</x:v>
      </x:c>
      <x:c r="G24" s="219" t="str">
        <x:v>A客户；标签：伯恩精密、A客户供应链、玻璃盖板</x:v>
      </x:c>
    </x:row>
    <x:row r="25" ht="54" customHeight="1">
      <x:c r="A25" s="259" t="str">
        <x:v>E20</x:v>
      </x:c>
      <x:c r="B25" s="219" t="str">
        <x:v>2022-03-08</x:v>
      </x:c>
      <x:c r="C25" s="259" t="str">
        <x:v>公开资料</x:v>
      </x:c>
      <x:c r="D25" s="219" t="str">
        <x:v>市场与可比</x:v>
      </x:c>
      <x:c r="E25" s="219" t="str">
        <x:v>A客户前盖与精密加工后盖玻璃设计：A客户官方产品资料同时描述Ceramic Shield前盖和precision-milled back glass，为前后玻璃精密加工环节提供结构参照。</x:v>
      </x:c>
      <x:c r="F25" s="260" t="str">
        <x:v>https://www.apple.com/newsroom/2022/03/apple-introduces-gorgeous-new-green-finishes-for-the-iphone-13-lineup/</x:v>
      </x:c>
      <x:c r="G25" s="219" t="str">
        <x:v>A客户官网；标签：智能手机、前盖玻璃、后盖玻璃</x:v>
      </x:c>
    </x:row>
    <x:row r="26" ht="54" customHeight="1">
      <x:c r="A26" s="259" t="str">
        <x:v>E21</x:v>
      </x:c>
      <x:c r="B26" s="219" t="str">
        <x:v>2017-10-01</x:v>
      </x:c>
      <x:c r="C26" s="259" t="str">
        <x:v>公开资料</x:v>
      </x:c>
      <x:c r="D26" s="219" t="str">
        <x:v>消费电子加工</x:v>
      </x:c>
      <x:c r="E26" s="219" t="str">
        <x:v>A客户供应商清洁能源项目更新：A客户官方文件将Biel称为其主要玻璃供应商之一，用于确认伯恩在果链玻璃制造环节的产业位置。</x:v>
      </x:c>
      <x:c r="F26" s="260" t="str">
        <x:v>https://images.apple.com/environment/pdf/Apple_Supplier_Clean_Energy_Program_Update_October_2017.pdf</x:v>
      </x:c>
      <x:c r="G26" s="219" t="str">
        <x:v>A客户；标签：伯恩精密、A客户供应链、主要玻璃供应商</x:v>
      </x:c>
    </x:row>
    <x:row r="27" ht="54" customHeight="1">
      <x:c r="A27" s="259" t="str">
        <x:v>E22</x:v>
      </x:c>
      <x:c r="B27" s="219" t="str">
        <x:v>2026-07-30</x:v>
      </x:c>
      <x:c r="C27" s="259" t="str">
        <x:v>公开资料</x:v>
      </x:c>
      <x:c r="D27" s="219" t="str">
        <x:v>市场与可比</x:v>
      </x:c>
      <x:c r="E27" s="219" t="str">
        <x:v>中国新型储能发展报告（2026）：国家能源局披露，2025年液流电池储能装机123.5万千瓦/514.1万千瓦时，为流道板价值测算提供装机锚点。</x:v>
      </x:c>
      <x:c r="F27" s="260" t="str">
        <x:v>https://www.nea.gov.cn/20260730/0a1e9823b7a14e8ba16e82c34b3bea2b/202607300a1e9823b7a14e8ba16e82c34b3bea2b_270e42e93bb1a647609c851527f42364ee.pdf</x:v>
      </x:c>
      <x:c r="G27" s="219" t="str">
        <x:v>国家能源局；标签：液流电池、储能、流道板、市场空间</x:v>
      </x:c>
    </x:row>
    <x:row r="28" ht="54" customHeight="1">
      <x:c r="A28" s="259" t="str">
        <x:v>E23</x:v>
      </x:c>
      <x:c r="B28" s="219" t="str">
        <x:v>2026-05-27</x:v>
      </x:c>
      <x:c r="C28" s="259" t="str">
        <x:v>公开资料</x:v>
      </x:c>
      <x:c r="D28" s="219" t="str">
        <x:v>市场与可比</x:v>
      </x:c>
      <x:c r="E28" s="219" t="str">
        <x:v>Glass Core Substrate Market and Development Trends：SEMI将玻璃芯基板定义为AI、HPC与先进封装的新兴方向，预计部分应用于2028年前后进入有限量生产。</x:v>
      </x:c>
      <x:c r="F28" s="260" t="str">
        <x:v>https://www.semi.org/en/product-service/market-data/glass-core-substrate-market-and-development-trends</x:v>
      </x:c>
      <x:c r="G28" s="219" t="str">
        <x:v>SEMI；标签：玻璃基板、先进封装、CMP、半导体</x:v>
      </x:c>
    </x:row>
    <x:row r="29" ht="54" customHeight="1">
      <x:c r="A29" s="259" t="str">
        <x:v>E24</x:v>
      </x:c>
      <x:c r="B29" s="219" t="str">
        <x:v>2025-04-10</x:v>
      </x:c>
      <x:c r="C29" s="259" t="str">
        <x:v>公开资料</x:v>
      </x:c>
      <x:c r="D29" s="219" t="str">
        <x:v>市场与可比</x:v>
      </x:c>
      <x:c r="E29" s="219" t="str">
        <x:v>加快推进燃料电池汽车示范推广解读：工信部公开解读披露，截至2024年10月我国累计推广燃料电池汽车已超2.7万辆。</x:v>
      </x:c>
      <x:c r="F29" s="260" t="str">
        <x:v>https://www.miit.gov.cn/jgsj/jns/nyjy/art/2025/art_709d555671d14cd790b465ee9512dd62.html</x:v>
      </x:c>
      <x:c r="G29" s="219" t="str">
        <x:v>工业和信息化部；标签：燃料电池、双极板、氢能、市场空间</x:v>
      </x:c>
    </x:row>
    <x:row r="30" ht="54" customHeight="1">
      <x:c r="A30" s="259" t="str">
        <x:v>E25</x:v>
      </x:c>
      <x:c r="B30" s="219" t="str">
        <x:v>2026-04-11</x:v>
      </x:c>
      <x:c r="C30" s="259" t="str">
        <x:v>公开资料</x:v>
      </x:c>
      <x:c r="D30" s="219" t="str">
        <x:v>市场与可比</x:v>
      </x:c>
      <x:c r="E30" s="219" t="str">
        <x:v>博众精工2025年年度报告：历年收入增速呈现设备企业典型的放量、基数抬升后放缓与订单再加速特征，用于校准2028—2030年设备收入斜率。</x:v>
      </x:c>
      <x:c r="F30" s="260" t="str">
        <x:v>https://static.sse.com.cn/disclosure/listedinfo/announcement/c/new/2026-04-11/688097_20260411_0LF9.pdf</x:v>
      </x:c>
      <x:c r="G30" s="219" t="str">
        <x:v>博众精工；标签：消费电子设备、可比公司、收入增速</x:v>
      </x:c>
    </x:row>
    <x:row r="31" ht="54" customHeight="1">
      <x:c r="A31" s="259" t="str">
        <x:v>E26</x:v>
      </x:c>
      <x:c r="B31" s="219" t="str">
        <x:v>2026-04-28</x:v>
      </x:c>
      <x:c r="C31" s="259" t="str">
        <x:v>公开资料</x:v>
      </x:c>
      <x:c r="D31" s="219" t="str">
        <x:v>市场与可比</x:v>
      </x:c>
      <x:c r="E31" s="219" t="str">
        <x:v>赛腾股份2025年年度报告：消费电子自动化设备收入具有新品导入期高增长、交付高峰后增速回落的周期特征，用于约束设备远期增速。</x:v>
      </x:c>
      <x:c r="F31" s="260" t="str">
        <x:v>https://static.sse.com.cn/disclosure/listedinfo/announcement/c/new/2026-04-28/603283_20260428_8XJS.pdf</x:v>
      </x:c>
      <x:c r="G31" s="219" t="str">
        <x:v>赛腾股份；标签：消费电子设备、可比公司、订单周期</x:v>
      </x:c>
    </x:row>
    <x:row r="32" ht="54" customHeight="1">
      <x:c r="A32" s="259" t="str">
        <x:v>E27</x:v>
      </x:c>
      <x:c r="B32" s="219" t="str">
        <x:v>2025-12-09</x:v>
      </x:c>
      <x:c r="C32" s="259" t="str">
        <x:v>公开资料</x:v>
      </x:c>
      <x:c r="D32" s="219" t="str">
        <x:v>市场与可比</x:v>
      </x:c>
      <x:c r="E32" s="219" t="str">
        <x:v>全球人形机器人2026年出货预测：TrendForce预计2026年全球人形机器人出货超过5万台、同比增长超过700%，用于机器人钨丝腱绳价值池的近期出货锚点。</x:v>
      </x:c>
      <x:c r="F32" s="260" t="str">
        <x:v>https://www.trendforce.com/presscenter/news/20251209-12825.html</x:v>
      </x:c>
      <x:c r="G32" s="219" t="str">
        <x:v>TrendForce；标签：人形机器人、灵巧手、钨丝腱绳、市场空间</x:v>
      </x:c>
    </x:row>
    <x:row r="33" ht="54" customHeight="1">
      <x:c r="A33" s="259" t="str">
        <x:v>E28</x:v>
      </x:c>
      <x:c r="B33" s="219" t="str">
        <x:v>2026-05-01</x:v>
      </x:c>
      <x:c r="C33" s="259" t="str">
        <x:v>公开资料</x:v>
      </x:c>
      <x:c r="D33" s="219" t="str">
        <x:v>市场与可比</x:v>
      </x:c>
      <x:c r="E33" s="219" t="str">
        <x:v>Physical AI：人形机器人出货基准路径：Bank of America Institute给出2027—2030年全球人形机器人出货29万、50万、80万和120万台的基准预测，用于钨丝腱绳中期价值池测算。</x:v>
      </x:c>
      <x:c r="F33" s="260" t="str">
        <x:v>https://institute.bankofamerica.com/content/dam/transformation/physical-ai-part-2.pdf</x:v>
      </x:c>
      <x:c r="G33" s="219" t="str">
        <x:v>Bank of America Institute；标签：人形机器人、出货预测、钨丝腱绳、市场空间</x:v>
      </x:c>
    </x:row>
    <x:row r="34" ht="54" customHeight="1">
      <x:c r="A34" s="259" t="str">
        <x:v>E29</x:v>
      </x:c>
      <x:c r="B34" s="219" t="str">
        <x:v>2025-05-01</x:v>
      </x:c>
      <x:c r="C34" s="259" t="str">
        <x:v>公开资料</x:v>
      </x:c>
      <x:c r="D34" s="219" t="str">
        <x:v>市场与可比</x:v>
      </x:c>
      <x:c r="E34" s="219" t="str">
        <x:v>灵巧手腱绳单机价值与更换周期：公开产业调研按双手约88根腱绳、约100元/根测算单机价值约8,000元，并以半年至一年更换1—2次描述耗材属性；模型据此重构首装与存量换绳价值池。</x:v>
      </x:c>
      <x:c r="F34" s="260" t="str">
        <x:v>https://www.9fzt.com/common/6eee7612b081d5fc1c7e09f2f6b66a0b.html</x:v>
      </x:c>
      <x:c r="G34" s="219" t="str">
        <x:v>九方金融研究所；标签：人形机器人、钨丝腱绳、单机价值、耗材复购</x:v>
      </x:c>
    </x:row>
    <x:row r="35" ht="54" customHeight="1">
      <x:c r="A35" s="259" t="str">
        <x:v>E30</x:v>
      </x:c>
      <x:c r="B35" s="219" t="str">
        <x:v>2026-05-27</x:v>
      </x:c>
      <x:c r="C35" s="259" t="str">
        <x:v>公开资料</x:v>
      </x:c>
      <x:c r="D35" s="219" t="str">
        <x:v>市场与可比</x:v>
      </x:c>
      <x:c r="E35" s="219" t="str">
        <x:v>玻璃芯基板市场与发展趋势：SEMI将玻璃芯基板定义为AI、HPC与先进封装的潜在下一代技术，预计部分应用于2028年前后进入有限量产，2028—2040年市场CAGR约67.2%。</x:v>
      </x:c>
      <x:c r="F35" s="260" t="str">
        <x:v>https://www.semi.org/en/semi-press-release/semi-and-global-net-corp-release-new-report-on-glass-core-substrate-market-and-development-trends-for-semiconductors</x:v>
      </x:c>
      <x:c r="G35" s="219" t="str">
        <x:v>SEMI；标签：玻璃基板、先进封装、AI、市场空间</x:v>
      </x:c>
    </x:row>
    <x:row r="36" ht="54" customHeight="1">
      <x:c r="A36" s="259" t="str">
        <x:v>E31</x:v>
      </x:c>
      <x:c r="B36" s="219" t="str">
        <x:v>2026-08-22</x:v>
      </x:c>
      <x:c r="C36" s="259" t="str">
        <x:v>公开资料</x:v>
      </x:c>
      <x:c r="D36" s="219" t="str">
        <x:v>市场与可比</x:v>
      </x:c>
      <x:c r="E36" s="219" t="str">
        <x:v>先进封装玻璃载板产品信息：Corning公开信息显示，超平玻璃载板可用于晶圆减薄、扇出封装与2.5D/3D封装，可形成515×510mm或600×600mm面板，并可降低先进封装过程中的翘曲。</x:v>
      </x:c>
      <x:c r="F36" s="260" t="str">
        <x:v>https://www.corning.com/worldwide/en/products/advanced-optics/product-materials/PrecisionGlassSolutions/advanced-packaging-carriers.html</x:v>
      </x:c>
      <x:c r="G36" s="219" t="str">
        <x:v>Corning；标签：玻璃载板、面板级封装、TTV、CMP</x:v>
      </x:c>
    </x:row>
    <x:row r="37" ht="54" customHeight="1">
      <x:c r="A37" s="259" t="str">
        <x:v>E32</x:v>
      </x:c>
      <x:c r="B37" s="219" t="str">
        <x:v>2026-07-24</x:v>
      </x:c>
      <x:c r="C37" s="259" t="str">
        <x:v>公开资料</x:v>
      </x:c>
      <x:c r="D37" s="219" t="str">
        <x:v>市场与可比</x:v>
      </x:c>
      <x:c r="E37" s="219" t="str">
        <x:v>Intel与蓝思科技开展先进封装玻璃基板合作：Intel公开宣布与蓝思科技在先进封装、精密玻璃加工、玻璃基板研发和工艺创新方面开展合作，显示中国精密玻璃加工产业链正向AI封装环节延伸。</x:v>
      </x:c>
      <x:c r="F37" s="260" t="str">
        <x:v>https://newsroom.intel.com/new-technologies/intel-and-lens-technology-collaborate-to-enable-advanced-semiconductor-packaging-for-the-ai-era</x:v>
      </x:c>
      <x:c r="G37" s="219" t="str">
        <x:v>Intel；标签：玻璃基板、精密加工、AI封装、产业链</x:v>
      </x:c>
    </x:row>
    <x:row r="38" ht="54" customHeight="1">
      <x:c r="A38" s="259" t="str">
        <x:v>E33</x:v>
      </x:c>
      <x:c r="B38" s="219" t="str">
        <x:v>2026-08-25</x:v>
      </x:c>
      <x:c r="C38" s="259" t="str">
        <x:v>公开资料</x:v>
      </x:c>
      <x:c r="D38" s="219" t="str">
        <x:v>公司与财务</x:v>
      </x:c>
      <x:c r="E38" s="219" t="str">
        <x:v>2026年半年度报告：披露2026H1收入2.76亿元、综合毛利率22.09%、归母净利润794.2万元、经营现金流2,661.6万元；消费电子及加工收入3,723.0万元、毛利率35.85%。</x:v>
      </x:c>
      <x:c r="F38" s="260" t="str">
        <x:v>https://pdf.dfcfw.com/pdf/H2_AN202608241828362341_1.pdf</x:v>
      </x:c>
      <x:c r="G38" s="219" t="str">
        <x:v>岱勒新材；标签：最新财务、半年报、消费电子、分部毛利率、子公司</x:v>
      </x:c>
    </x:row>
    <x:row r="39" ht="54" customHeight="1">
      <x:c r="A39" s="259" t="str">
        <x:v>E34</x:v>
      </x:c>
      <x:c r="B39" s="219" t="str">
        <x:v>2026-08-23</x:v>
      </x:c>
      <x:c r="C39" s="259" t="str">
        <x:v>调研信息</x:v>
      </x:c>
      <x:c r="D39" s="219" t="str">
        <x:v>消费电子加工</x:v>
      </x:c>
      <x:c r="E39" s="219" t="str">
        <x:v>岱勒新材产业链调研整理（2026年8月23日）：行业调研补充Air类沉台背板、折叠屏与20周年曲面玻璃的材料和工艺差异：传统磨削与“2+1 / 2+2”线切的材料利用率、200—300片多片切割、良率和全过程控制，以及热弯后CNC设备与磨抛清洗耗材的项目边界；调研口径不等同于公司指引或已确认收入。</x:v>
      </x:c>
      <x:c r="F39" s="260" t="str">
        <x:v>岱勒新材交流-20260823.md</x:v>
      </x:c>
      <x:c r="G39" s="219" t="str">
        <x:v>行业调研；标签：A客户、Air类产品、折叠屏、20周年机型、微晶玻璃、线切、2+1、材料利用率、设备、耗材、风险</x:v>
      </x:c>
    </x:row>
    <x:row r="40" ht="54" customHeight="1">
      <x:c r="A40" s="259" t="str">
        <x:v>E35</x:v>
      </x:c>
      <x:c r="B40" s="219" t="str">
        <x:v>2025-09-09</x:v>
      </x:c>
      <x:c r="C40" s="259" t="str">
        <x:v>公开资料</x:v>
      </x:c>
      <x:c r="D40" s="219" t="str">
        <x:v>消费电子加工</x:v>
      </x:c>
      <x:c r="E40" s="219" t="str">
        <x:v>A客户Air类产品设计与背部平台：A客户官方资料披露5.6mm超薄机身、背部平台双面精密加工，以及覆盖背部及平台的玻璃陶瓷结构。</x:v>
      </x:c>
      <x:c r="F40" s="260" t="str">
        <x:v>https://www.apple.com/newsroom/2025/09/introducing-iphone-air-a-powerful-new-iphone-with-a-breakthrough-design/</x:v>
      </x:c>
      <x:c r="G40" s="219" t="str">
        <x:v>A客户官网；标签：A客户、Air类产品、背部平台、后盖玻璃、精密加工</x:v>
      </x:c>
    </x:row>
    <x:row r="41" ht="54" customHeight="1">
      <x:c r="A41" s="259" t="str">
        <x:v>E36</x:v>
      </x:c>
      <x:c r="B41" s="219" t="str">
        <x:v>2026-08-11</x:v>
      </x:c>
      <x:c r="C41" s="259" t="str">
        <x:v>公开资料</x:v>
      </x:c>
      <x:c r="D41" s="219" t="str">
        <x:v>市场与可比</x:v>
      </x:c>
      <x:c r="E41" s="219" t="str">
        <x:v>A客户20周年玻璃化设计产业报道：产业报道称2027年周年机型的玻璃化方案仍在推进，设计重点指向更连续的前后玻璃视觉；非A客户官方确认。</x:v>
      </x:c>
      <x:c r="F41" s="260" t="str">
        <x:v>https://www.bloomberg.com/news/articles/2026-08-11/apple-s-glass-centric-20th-anniversary-iphone-remains-on-track-for-2027</x:v>
      </x:c>
      <x:c r="G41" s="219" t="str">
        <x:v>Bloomberg；标签：A客户、20周年、曲面玻璃、产业报道、风险</x:v>
      </x:c>
    </x:row>
    <x:row r="42" ht="54" customHeight="1">
      <x:c r="A42" s="259" t="str">
        <x:v>E37</x:v>
      </x:c>
      <x:c r="B42" s="219" t="str">
        <x:v>2018-11-13</x:v>
      </x:c>
      <x:c r="C42" s="259" t="str">
        <x:v>公开资料</x:v>
      </x:c>
      <x:c r="D42" s="219" t="str">
        <x:v>消费电子加工</x:v>
      </x:c>
      <x:c r="E42" s="219" t="str">
        <x:v>曲面手机玻璃CNC、研磨抛光与清洗工艺专利：公开专利描述曲面后盖玻璃经CNC粗磨、精磨、抛光、钢化与清洗等工序，用于校验热弯后设备与耗材环节的技术逻辑。</x:v>
      </x:c>
      <x:c r="F42" s="260" t="str">
        <x:v>https://patents.google.com/patent/CN108793708A/en</x:v>
      </x:c>
      <x:c r="G42" s="219" t="str">
        <x:v>公开专利资料；标签：曲面玻璃、CNC、研磨、抛光、清洗、耗材</x:v>
      </x:c>
    </x:row>
    <x:row r="43" ht="54" customHeight="1">
      <x:c r="A43" s="259" t="str">
        <x:v>E38</x:v>
      </x:c>
      <x:c r="B43" s="219" t="str">
        <x:v>2026-08-24</x:v>
      </x:c>
      <x:c r="C43" s="259" t="str">
        <x:v>公开资料</x:v>
      </x:c>
      <x:c r="D43" s="219" t="str">
        <x:v>市场与可比</x:v>
      </x:c>
      <x:c r="E43" s="219" t="str">
        <x:v>A客户20周年曲面玻璃制造工艺最新跟踪：报道援引产业链消息称，Air类玻璃制造设备正改造以生产更圆润的玻璃部件，曲面玻璃可能向机身侧边延伸；该信息非A客户官方确认。</x:v>
      </x:c>
      <x:c r="F43" s="260" t="str">
        <x:v>https://www.macrumors.com/2026/08/24/iphone-20-curved-glass-to-be-like-iphone-air/</x:v>
      </x:c>
      <x:c r="G43" s="219" t="str">
        <x:v>MacRumors；标签：A客户、20周年、全玻璃、曲面玻璃、Air类工艺、产业报道、风险</x:v>
      </x:c>
    </x:row>
    <x:row r="44" ht="54" customHeight="1">
      <x:c r="A44" s="259" t="str">
        <x:v>E39</x:v>
      </x:c>
      <x:c r="B44" s="219" t="str">
        <x:v>2025-09-09</x:v>
      </x:c>
      <x:c r="C44" s="259" t="str">
        <x:v>公开资料</x:v>
      </x:c>
      <x:c r="D44" s="219" t="str">
        <x:v>消费电子加工</x:v>
      </x:c>
      <x:c r="E44" s="219" t="str">
        <x:v>A客户Air类产品后盖总成拆解资料：A客户回收拆解指南将后盖总成、粘接层、机身框架、电池、摄像头与主板分层展示，用于校验后盖与背部平台的结构关系。</x:v>
      </x:c>
      <x:c r="F44" s="260" t="str">
        <x:v>https://www.apple.com/recycling/recycler-guides/pdf/products/iphone/iPhone_Air_Recycler_Guide_English.pdf</x:v>
      </x:c>
      <x:c r="G44" s="219" t="str">
        <x:v>A客户回收指南；标签：A客户、Air类产品、后盖总成、粘接层、机身框架、拆解</x:v>
      </x:c>
    </x:row>
    <x:row r="45" ht="54" customHeight="1">
      <x:c r="A45" s="259" t="str">
        <x:v>E40</x:v>
      </x:c>
      <x:c r="B45" s="219" t="str">
        <x:v>2026-08-23</x:v>
      </x:c>
      <x:c r="C45" s="259" t="str">
        <x:v>调研信息</x:v>
      </x:c>
      <x:c r="D45" s="219" t="str">
        <x:v>设备</x:v>
      </x:c>
      <x:c r="E45" s="219" t="str">
        <x:v>金属CNC更新与海外设备复制产业调研：行业调研估计A客户国内金属加工设备保有量约18万台，明后年大部分进入更新换代窗口；同一调研称越南首批50台设备已完成海外工厂测试，但仍受出口审批与验收约束。保有量、更新比例和后续台数不等同于公司订单或收入指引。</x:v>
      </x:c>
      <x:c r="F45" s="260" t="str">
        <x:v>岱勒新材交流-20260823.md</x:v>
      </x:c>
      <x:c r="G45" s="219" t="str">
        <x:v>行业调研；标签：金属CNC、设备更新、18万台、2027、2028、越南、出海、50台、出口审批、风险</x:v>
      </x:c>
    </x:row>
    <x:row r="46" ht="54" customHeight="1">
      <x:c r="A46" s="259" t="str">
        <x:v>E41</x:v>
      </x:c>
      <x:c r="B46" s="219" t="str">
        <x:v>2026-08-23</x:v>
      </x:c>
      <x:c r="C46" s="259" t="str">
        <x:v>调研信息</x:v>
      </x:c>
      <x:c r="D46" s="219" t="str">
        <x:v>市场与可比</x:v>
      </x:c>
      <x:c r="E46" s="219" t="str">
        <x:v>金刚石铜散热材料产品路径产业调研：行业调研显示公司金刚石散热材料已进入送样和小批量阶段，当前更现实的产品是金刚石铜复合热扩散片；量产难点包括Ti/W等界面过渡层、颗粒均匀与批次一致性、冷热循环、金属化焊接及流道系统协同。导热目标与客户验证进展不等同于已实现批量收入。</x:v>
      </x:c>
      <x:c r="F46" s="260" t="str">
        <x:v>岱勒新材交流-20260823.md</x:v>
      </x:c>
      <x:c r="G46" s="219" t="str">
        <x:v>行业调研；标签：金刚石铜、热扩散片、AI散热、Ti、W、冷热循环、小批量、客户验证、风险</x:v>
      </x:c>
    </x:row>
    <x:row r="47" ht="54" customHeight="1">
      <x:c r="A47" s="259" t="str">
        <x:v>E42</x:v>
      </x:c>
      <x:c r="B47" s="219" t="str">
        <x:v>2024-04-09</x:v>
      </x:c>
      <x:c r="C47" s="259" t="str">
        <x:v>公开资料</x:v>
      </x:c>
      <x:c r="D47" s="219" t="str">
        <x:v>设备</x:v>
      </x:c>
      <x:c r="E47" s="219" t="str">
        <x:v>工业领域设备更新实施方案：工信部等七部门提出到2027年工业领域设备投资规模较2023年增长25%以上，重点推动服役超过10年的机床更新，并推进电子产品专用智能制造装备与自动化装配线集成应用。该政策提供设备更新的宏观背景，不直接验证A客户18万台调研口径。</x:v>
      </x:c>
      <x:c r="F47" s="260" t="str">
        <x:v>https://www.miit.gov.cn/zwgk/zcwj/wjfb/tz/art/2024/art_3a8bb9999baa45039305de354c868244.html</x:v>
      </x:c>
      <x:c r="G47" s="219" t="str">
        <x:v>工业和信息化部；标签：设备更新、工业母机、数控机床、电子制造、政策</x:v>
      </x:c>
    </x:row>
    <x:row r="48" ht="54" customHeight="1">
      <x:c r="A48" s="259" t="str">
        <x:v>E43</x:v>
      </x:c>
      <x:c r="B48" s="219" t="str">
        <x:v>2026-08-26</x:v>
      </x:c>
      <x:c r="C48" s="259" t="str">
        <x:v>公开资料</x:v>
      </x:c>
      <x:c r="D48" s="219" t="str">
        <x:v>市场与可比</x:v>
      </x:c>
      <x:c r="E48" s="219" t="str">
        <x:v>高功耗AI加速器公开规格：AMD公开产品规格显示，MI350系列高端加速器功耗已达到1,000W，MI355X最高达1,400W，为更高性能热扩散片与液冷协同提供需求锚点。</x:v>
      </x:c>
      <x:c r="F48" s="260" t="str">
        <x:v>https://www.amd.com/en/products/specifications/accelerators.html</x:v>
      </x:c>
      <x:c r="G48" s="219" t="str">
        <x:v>AMD；标签：AI加速器、功耗、热管理、液冷、金刚石铜</x:v>
      </x:c>
    </x:row>
    <x:row r="49" ht="54" customHeight="1">
      <x:c r="A49" s="259" t="str">
        <x:v>E44</x:v>
      </x:c>
      <x:c r="B49" s="219" t="str">
        <x:v>2024-04-01</x:v>
      </x:c>
      <x:c r="C49" s="259" t="str">
        <x:v>公开资料</x:v>
      </x:c>
      <x:c r="D49" s="219" t="str">
        <x:v>市场与可比</x:v>
      </x:c>
      <x:c r="E49" s="219" t="str">
        <x:v>金刚石铜热扩散片产品案例：住友电工技术资料展示金刚石铜复合热扩散片用于高功率半导体激光器：产品导热率约550W/(m·K)，并完成精密加工和金属化，证明具体产品形态需要同时解决材料、加工与封装连接。</x:v>
      </x:c>
      <x:c r="F49" s="260" t="str">
        <x:v>https://sumitomoelectric.com/sites/default/files/2024-04/download_documents/E98-31.pdf</x:v>
      </x:c>
      <x:c r="G49" s="219" t="str">
        <x:v>Sumitomo Electric；标签：金刚石铜、热扩散片、半导体激光器、导热率、金属化、产品案例</x:v>
      </x:c>
    </x:row>
    <x:row r="50" ht="54" customHeight="1">
      <x:c r="A50" s="259" t="str">
        <x:v>E45</x:v>
      </x:c>
      <x:c r="B50" s="219" t="str">
        <x:v>2026-08-03</x:v>
      </x:c>
      <x:c r="C50" s="259" t="str">
        <x:v>公开资料</x:v>
      </x:c>
      <x:c r="D50" s="219" t="str">
        <x:v>市场与可比</x:v>
      </x:c>
      <x:c r="E50" s="219" t="str">
        <x:v>2026年AI服务器与液冷基础设施需求跟踪：TrendForce将2026年AI服务器出货增速预测上调至接近31%，并指出CSP资本开支继续投向GPU集群、液冷和先进封装；用于校验金刚石铜情景的需求方向，不直接作为产品采用率或公司收入预测。</x:v>
      </x:c>
      <x:c r="F50" s="260" t="str">
        <x:v>https://www.trendforce.com/presscenter/news/20260803-13161.html</x:v>
      </x:c>
      <x:c r="G50" s="219" t="str">
        <x:v>TrendForce；标签：AI服务器、液冷、先进封装、CSP、金刚石铜、市场空间</x:v>
      </x:c>
    </x:row>
    <x:row r="51" ht="54" customHeight="1">
      <x:c r="A51" s="259" t="str">
        <x:v>E46</x:v>
      </x:c>
      <x:c r="B51" s="219" t="str">
        <x:v>2026-08-23</x:v>
      </x:c>
      <x:c r="C51" s="259" t="str">
        <x:v>调研信息</x:v>
      </x:c>
      <x:c r="D51" s="219" t="str">
        <x:v>消费电子加工</x:v>
      </x:c>
      <x:c r="E51" s="219" t="str">
        <x:v>A客户线切方案筛选与全过程量产壁垒产业调研：产业调研显示，A客户最初在国内筛选约六家线切方案企业，岱勒在当轮验证后成为唯一指定合格供应商。壁垒不只在能否切割，还包括不规则毛坯识别、逐片定位与布网、200—300片批量节拍、崩边划伤、搬运上下料和全过程质量控制。阶段性验证结果不等同于永久独供或已确认订单。</x:v>
      </x:c>
      <x:c r="F51" s="260" t="str">
        <x:v>岱勒新材交流-20260823.md</x:v>
      </x:c>
      <x:c r="G51" s="219" t="str">
        <x:v>行业调研；标签：A客户、六家企业、唯一指定合格供应商、线切、过程控制、质量控制、量产壁垒、风险</x:v>
      </x:c>
    </x:row>
    <x:row r="52" ht="54" customHeight="1">
      <x:c r="A52" s="259" t="str">
        <x:v>E47</x:v>
      </x:c>
      <x:c r="B52" s="219" t="str">
        <x:v>2026-08-23</x:v>
      </x:c>
      <x:c r="C52" s="259" t="str">
        <x:v>调研信息</x:v>
      </x:c>
      <x:c r="D52" s="219" t="str">
        <x:v>设备</x:v>
      </x:c>
      <x:c r="E52" s="219" t="str">
        <x:v>A客户CNC设备同场验证与三家入围产业调研：产业调研称，新一代CNC设备验证中有老牌机床企业参与，岱勒进入三家入围序列，另外包括佳铁及供应链自建设备团队。最终供应商分配、设备台数与确认收入仍取决于后续定点、交付和验收。</x:v>
      </x:c>
      <x:c r="F52" s="260" t="str">
        <x:v>岱勒新材交流-20260823.md</x:v>
      </x:c>
      <x:c r="G52" s="219" t="str">
        <x:v>行业调研；标签：A客户、CNC、设备验证、三家入围、佳铁、老牌机床、定点、验收、风险</x:v>
      </x:c>
    </x:row>
    <x:row r="53" ht="54" customHeight="1">
      <x:c r="A53" s="259" t="str">
        <x:v>E48</x:v>
      </x:c>
      <x:c r="B53" s="219" t="str">
        <x:v>2026-08-26</x:v>
      </x:c>
      <x:c r="C53" s="259" t="str">
        <x:v>公开资料</x:v>
      </x:c>
      <x:c r="D53" s="219" t="str">
        <x:v>设备</x:v>
      </x:c>
      <x:c r="E53" s="219" t="str">
        <x:v>广东科杰技术与佳铁玻璃CNC平台公开资料：广东科杰技术官网披露佳铁品牌覆盖玻璃CNC加工中心、自研主轴与数控系统、硬脆材料精密磨削、自动化上下料和在机测量；官网同时披露科杰技术成立于1998年、机床保有量超10万台、自研佳铁系统应用超6万套、3C批量加工精度稳定在0.01mm。公开数据用于刻画成熟竞争者基础，不验证A客户最终设备份额。</x:v>
      </x:c>
      <x:c r="F53" s="260" t="str">
        <x:v>https://www.kejietechnology.cn/</x:v>
      </x:c>
      <x:c r="G53" s="219" t="str">
        <x:v>广东科杰技术；标签：广东科杰技术、佳铁、玻璃CNC、数控系统、硬脆材料、3C、装机量、公开资料</x:v>
      </x:c>
    </x:row>
    <x:row r="54" ht="54" customHeight="1">
      <x:c r="A54" s="259" t="str">
        <x:v>E49</x:v>
      </x:c>
      <x:c r="B54" s="219" t="str">
        <x:v>2026-08-23</x:v>
      </x:c>
      <x:c r="C54" s="259" t="str">
        <x:v>调研信息</x:v>
      </x:c>
      <x:c r="D54" s="219" t="str">
        <x:v>消费电子加工</x:v>
      </x:c>
      <x:c r="E54" s="219" t="str">
        <x:v>折叠屏铰链良率、拉产延迟与加工价格产业调研：产业调研显示，2026年折叠屏项目真正拉产受铰链或转轴良率制约，并非公司线切环节问题，相关加工量可能后移至2026Q4及2027年；折叠屏玻璃因材料、形状和工艺要求更复杂，价格高于Air类产品，但调研未披露具体单价。模型采用的2027E 10元/片属于研究假设，不是公司报价或业绩指引。</x:v>
      </x:c>
      <x:c r="F54" s="260" t="str">
        <x:v>岱勒新材交流-20260823.md</x:v>
      </x:c>
      <x:c r="G54" s="219" t="str">
        <x:v>行业调研；标签：A客户、折叠屏、铰链良率、拉产延迟、加工价格、2027、研究假设、风险</x:v>
      </x:c>
    </x:row>
    <x:row r="55" ht="54" customHeight="1">
      <x:c r="A55" s="259" t="str">
        <x:v>E50</x:v>
      </x:c>
      <x:c r="B55" s="219" t="str">
        <x:v>2025-10-30</x:v>
      </x:c>
      <x:c r="C55" s="259" t="str">
        <x:v>公开资料</x:v>
      </x:c>
      <x:c r="D55" s="219" t="str">
        <x:v>市场与可比</x:v>
      </x:c>
      <x:c r="E55" s="219" t="str">
        <x:v>A客户FY2025全部产品销售成本与供应链采购上限代理：A客户FY2025全部产品销售成本为1,941.16亿美元。报告按7.2元/美元研究汇率折算约1.40万亿元人民币，只用于观察全部产品供应链采购盘子的数量级，不是手机单品成本，也不代表岱勒可服务市场或可获得收入。</x:v>
      </x:c>
      <x:c r="F55" s="260" t="str">
        <x:v>https://www.apple.com/newsroom/pdfs/fy2025-q4/FY25_Q4_Consolidated_Financial_Statements.pdf</x:v>
      </x:c>
      <x:c r="G55" s="219" t="str">
        <x:v>A客户FY2025合并财务报表；标签：A客户、供应链、产品销售成本、市场空间、研究边界</x:v>
      </x:c>
    </x:row>
    <x:row r="56" ht="54" customHeight="1">
      <x:c r="A56" s="259" t="str">
        <x:v>E51</x:v>
      </x:c>
      <x:c r="B56" s="219" t="str">
        <x:v>2026-08-23</x:v>
      </x:c>
      <x:c r="C56" s="259" t="str">
        <x:v>调研信息</x:v>
      </x:c>
      <x:c r="D56" s="219" t="str">
        <x:v>设备</x:v>
      </x:c>
      <x:c r="E56" s="219" t="str">
        <x:v>设备预付款、交付能力与验收节奏产业调研：产业链调研显示，设备通常收取约30%预付款，交付后约一个月验收，当前月交付能力约1,500台以上；厂房进度、出口审批和客户验收会使发货量与报表收入错位。以上均为产业调研口径，不代表已确认订单、交付或收入。</x:v>
      </x:c>
      <x:c r="F56" s="260" t="str">
        <x:v>岱勒新材交流-20260823.md</x:v>
      </x:c>
      <x:c r="G56" s="219" t="str">
        <x:v>行业调研；标签：设备、预付款、交付能力、验收、收入确认、风险</x:v>
      </x:c>
    </x:row>
    <x:row r="58">
      <x:c r="A58" s="210" t="str">
        <x:v>模型公式与研究设定</x:v>
      </x:c>
      <x:c r="B58" s="210" t="str">
        <x:v>模型公式与研究设定</x:v>
      </x:c>
      <x:c r="C58" s="210" t="str">
        <x:v>模型公式与研究设定</x:v>
      </x:c>
      <x:c r="D58" s="210" t="str">
        <x:v>模型公式与研究设定</x:v>
      </x:c>
      <x:c r="E58" s="210" t="str">
        <x:v>模型公式与研究设定</x:v>
      </x:c>
      <x:c r="F58" s="210" t="str">
        <x:v>模型公式与研究设定</x:v>
      </x:c>
      <x:c r="G58" s="210" t="str">
        <x:v>模型公式与研究设定</x:v>
      </x:c>
    </x:row>
    <x:row r="59">
      <x:c r="A59" s="216" t="str">
        <x:v>模型ID</x:v>
      </x:c>
      <x:c r="B59" s="216" t="str">
        <x:v>日期</x:v>
      </x:c>
      <x:c r="C59" s="216" t="str">
        <x:v>类型</x:v>
      </x:c>
      <x:c r="D59" s="216" t="str">
        <x:v>名称</x:v>
      </x:c>
      <x:c r="E59" s="216" t="str">
        <x:v>公式 / 设定</x:v>
      </x:c>
      <x:c r="F59" s="216" t="str">
        <x:v>对应模块</x:v>
      </x:c>
      <x:c r="G59" s="216" t="str">
        <x:v>处理原则</x:v>
      </x:c>
    </x:row>
    <x:row r="60" ht="38" customHeight="1">
      <x:c r="A60" s="259" t="str">
        <x:v>M01</x:v>
      </x:c>
      <x:c r="B60" s="219" t="str">
        <x:v>2026-08-26</x:v>
      </x:c>
      <x:c r="C60" s="219" t="str">
        <x:v>模型</x:v>
      </x:c>
      <x:c r="D60" s="219" t="str">
        <x:v>等效加工片数</x:v>
      </x:c>
      <x:c r="E60" s="219" t="str">
        <x:v>可覆盖终端池 × 新工艺采用率 × 前端片数放大系数 × 岱勒加工份额</x:v>
      </x:c>
      <x:c r="F60" s="260" t="str">
        <x:v>网页当前数据模块</x:v>
      </x:c>
      <x:c r="G60" s="219" t="str">
        <x:v>研究计算</x:v>
      </x:c>
    </x:row>
    <x:row r="61" ht="38" customHeight="1">
      <x:c r="A61" s="259" t="str">
        <x:v>M02</x:v>
      </x:c>
      <x:c r="B61" s="219" t="str">
        <x:v>2026-08-26</x:v>
      </x:c>
      <x:c r="C61" s="219" t="str">
        <x:v>模型</x:v>
      </x:c>
      <x:c r="D61" s="219" t="str">
        <x:v>加工收入</x:v>
      </x:c>
      <x:c r="E61" s="219" t="str">
        <x:v>等效加工片数 × 单片加工费</x:v>
      </x:c>
      <x:c r="F61" s="260" t="str">
        <x:v>网页当前数据模块</x:v>
      </x:c>
      <x:c r="G61" s="219" t="str">
        <x:v>研究计算</x:v>
      </x:c>
    </x:row>
    <x:row r="62" ht="38" customHeight="1">
      <x:c r="A62" s="259" t="str">
        <x:v>M03</x:v>
      </x:c>
      <x:c r="B62" s="219" t="str">
        <x:v>2026-08-26</x:v>
      </x:c>
      <x:c r="C62" s="219" t="str">
        <x:v>模型</x:v>
      </x:c>
      <x:c r="D62" s="219" t="str">
        <x:v>外售切割线收入</x:v>
      </x:c>
      <x:c r="E62" s="219" t="str">
        <x:v>等效加工片数 × 外部产线占比 × 单片切割线价值</x:v>
      </x:c>
      <x:c r="F62" s="260" t="str">
        <x:v>网页当前数据模块</x:v>
      </x:c>
      <x:c r="G62" s="219" t="str">
        <x:v>研究计算</x:v>
      </x:c>
    </x:row>
    <x:row r="63" ht="38" customHeight="1">
      <x:c r="A63" s="259" t="str">
        <x:v>M04</x:v>
      </x:c>
      <x:c r="B63" s="219" t="str">
        <x:v>2026-08-26</x:v>
      </x:c>
      <x:c r="C63" s="219" t="str">
        <x:v>模型</x:v>
      </x:c>
      <x:c r="D63" s="219" t="str">
        <x:v>设备收入</x:v>
      </x:c>
      <x:c r="E63" s="219" t="str">
        <x:v>首批设备规模 × 兑现比例 × 交付节奏 + 后续设备与服务收入</x:v>
      </x:c>
      <x:c r="F63" s="260" t="str">
        <x:v>网页当前数据模块</x:v>
      </x:c>
      <x:c r="G63" s="219" t="str">
        <x:v>研究计算</x:v>
      </x:c>
    </x:row>
    <x:row r="64" ht="38" customHeight="1">
      <x:c r="A64" s="259" t="str">
        <x:v>M05</x:v>
      </x:c>
      <x:c r="B64" s="219" t="str">
        <x:v>2026-08-26</x:v>
      </x:c>
      <x:c r="C64" s="219" t="str">
        <x:v>模型</x:v>
      </x:c>
      <x:c r="D64" s="219" t="str">
        <x:v>耗材收入</x:v>
      </x:c>
      <x:c r="E64" s="219" t="str">
        <x:v>可争取耗材采购池 × 外售耗材份额</x:v>
      </x:c>
      <x:c r="F64" s="260" t="str">
        <x:v>网页当前数据模块</x:v>
      </x:c>
      <x:c r="G64" s="219" t="str">
        <x:v>研究计算</x:v>
      </x:c>
    </x:row>
    <x:row r="65" ht="38" customHeight="1">
      <x:c r="A65" s="259" t="str">
        <x:v>M06</x:v>
      </x:c>
      <x:c r="B65" s="219" t="str">
        <x:v>2026-08-26</x:v>
      </x:c>
      <x:c r="C65" s="219" t="str">
        <x:v>模型</x:v>
      </x:c>
      <x:c r="D65" s="219" t="str">
        <x:v>少数股东损益与归母净利润</x:v>
      </x:c>
      <x:c r="E65" s="219" t="str">
        <x:v>少数股东损益 = Σ[(分部毛利 − 按收入分摊期间费用 − 所得税) × 分部少数股东比例]；归母净利润 = 合并净利润 − 少数股东损益</x:v>
      </x:c>
      <x:c r="F65" s="260" t="str">
        <x:v>网页当前数据模块</x:v>
      </x:c>
      <x:c r="G65" s="219" t="str">
        <x:v>研究计算</x:v>
      </x:c>
    </x:row>
    <x:row r="66" ht="38" customHeight="1">
      <x:c r="A66" s="259" t="str">
        <x:v>M07</x:v>
      </x:c>
      <x:c r="B66" s="219" t="str">
        <x:v>2026-08-26</x:v>
      </x:c>
      <x:c r="C66" s="219" t="str">
        <x:v>模型</x:v>
      </x:c>
      <x:c r="D66" s="219" t="str">
        <x:v>消费电子归母贡献</x:v>
      </x:c>
      <x:c r="E66" s="219" t="str">
        <x:v>消费电子毛利 − 按收入分摊期间费用 − 所得税 − 消费电子平台少数股东损益</x:v>
      </x:c>
      <x:c r="F66" s="260" t="str">
        <x:v>网页当前数据模块</x:v>
      </x:c>
      <x:c r="G66" s="219" t="str">
        <x:v>研究计算</x:v>
      </x:c>
    </x:row>
    <x:row r="67" ht="38" customHeight="1">
      <x:c r="A67" s="259" t="str">
        <x:v>M08</x:v>
      </x:c>
      <x:c r="B67" s="219" t="str">
        <x:v>2026-08-26</x:v>
      </x:c>
      <x:c r="C67" s="219" t="str">
        <x:v>模型</x:v>
      </x:c>
      <x:c r="D67" s="219" t="str">
        <x:v>分部估值</x:v>
      </x:c>
      <x:c r="E67" s="219" t="str">
        <x:v>2026年末分部价值 = Σ[分部归母利润 × 分部前瞻PE] ÷ (1 + 折现率)^折现期数；每股价值再除以摊薄股本</x:v>
      </x:c>
      <x:c r="F67" s="260" t="str">
        <x:v>网页当前数据模块</x:v>
      </x:c>
      <x:c r="G67" s="219" t="str">
        <x:v>研究计算</x:v>
      </x:c>
    </x:row>
    <x:row r="68" ht="38" customHeight="1">
      <x:c r="A68" s="259" t="str">
        <x:v>M09</x:v>
      </x:c>
      <x:c r="B68" s="219" t="str">
        <x:v>2026-08-26</x:v>
      </x:c>
      <x:c r="C68" s="219" t="str">
        <x:v>模型</x:v>
      </x:c>
      <x:c r="D68" s="219" t="str">
        <x:v>新材料期权估值</x:v>
      </x:c>
      <x:c r="E68" s="219" t="str">
        <x:v>2030E可触及收入空间 × 收入兑现系数 × PS × 上市公司股权比例 ÷ (1 + 期权折现率)^4，统一折现至2026年末</x:v>
      </x:c>
      <x:c r="F68" s="260" t="str">
        <x:v>网页当前数据模块</x:v>
      </x:c>
      <x:c r="G68" s="219" t="str">
        <x:v>研究计算</x:v>
      </x:c>
    </x:row>
    <x:row r="69" ht="38" customHeight="1">
      <x:c r="A69" s="259" t="str">
        <x:v>M10</x:v>
      </x:c>
      <x:c r="B69" s="219" t="str">
        <x:v>2026-08-26</x:v>
      </x:c>
      <x:c r="C69" s="219" t="str">
        <x:v>模型</x:v>
      </x:c>
      <x:c r="D69" s="219" t="str">
        <x:v>2027年玻璃CNC需求量折算</x:v>
      </x:c>
      <x:c r="E69" s="219" t="str">
        <x:v>客户整体需求 × 公司竞争份额 × 15万元/台；低/中枢/高情景为2万/3万/4万台及10%/25%/40%份额</x:v>
      </x:c>
      <x:c r="F69" s="260" t="str">
        <x:v>新增市场空间!A13:H18</x:v>
      </x:c>
      <x:c r="G69" s="219" t="str">
        <x:v>不代表订单、当年交付或确认收入</x:v>
      </x:c>
    </x:row>
    <x:row r="70" ht="38" customHeight="1">
      <x:c r="A70" s="259" t="str">
        <x:v>M11</x:v>
      </x:c>
      <x:c r="B70" s="219" t="str">
        <x:v>2026-08-26</x:v>
      </x:c>
      <x:c r="C70" s="219" t="str">
        <x:v>模型</x:v>
      </x:c>
      <x:c r="D70" s="219" t="str">
        <x:v>国内金属CNC更新与海外复制</x:v>
      </x:c>
      <x:c r="E70" s="219" t="str">
        <x:v>国内保有量 × 更新率 × ASP；海外后续复制设备量 × ASP</x:v>
      </x:c>
      <x:c r="F70" s="260" t="str">
        <x:v>新增市场空间!A20:H32</x:v>
      </x:c>
      <x:c r="G70" s="219" t="str">
        <x:v>跨年度设备存量情景，不等同公司订单</x:v>
      </x:c>
    </x:row>
    <x:row r="71" ht="38" customHeight="1">
      <x:c r="A71" s="259" t="str">
        <x:v>M12</x:v>
      </x:c>
      <x:c r="B71" s="219" t="str">
        <x:v>2026-08-26</x:v>
      </x:c>
      <x:c r="C71" s="219" t="str">
        <x:v>模型</x:v>
      </x:c>
      <x:c r="D71" s="219" t="str">
        <x:v>A客户供应链空间</x:v>
      </x:c>
      <x:c r="E71" s="219" t="str">
        <x:v>全部产品成本上限代理、年度加工/耗材流量与设备周期池分层计算</x:v>
      </x:c>
      <x:c r="F71" s="260" t="str">
        <x:v>新增市场空间!A34:H51</x:v>
      </x:c>
      <x:c r="G71" s="219" t="str">
        <x:v>三个层次存在时间和口径差异，不可直接相加</x:v>
      </x:c>
    </x:row>
    <x:row r="72" ht="38" customHeight="1">
      <x:c r="A72" s="259" t="str">
        <x:v>M13</x:v>
      </x:c>
      <x:c r="B72" s="219" t="str">
        <x:v>2026-08-26</x:v>
      </x:c>
      <x:c r="C72" s="219" t="str">
        <x:v>模型</x:v>
      </x:c>
      <x:c r="D72" s="219" t="str">
        <x:v>金刚石铜散热价值池</x:v>
      </x:c>
      <x:c r="E72" s="219" t="str">
        <x:v>高功耗加速 / 功率模块数量 × 金刚石铜采用率 × 单模块热扩散片价值</x:v>
      </x:c>
      <x:c r="F72" s="260" t="str">
        <x:v>新增市场空间!A4:H11</x:v>
      </x:c>
      <x:c r="G72" s="219" t="str">
        <x:v>远期期权测算，不并入近期主业利润</x:v>
      </x:c>
    </x:row>
  </x:sheetData>
  <x:mergeCells>
    <x:mergeCell ref="A1:G1"/>
    <x:mergeCell ref="A2:G2"/>
    <x:mergeCell ref="A58:G58"/>
  </x:mergeCells>
  <x:pageMargins left="0.7" right="0.7" top="0.75" bottom="0.75" header="0.3" footer="0.3"/>
</x:worksheet>
</file>

<file path=xl/worksheets/sheet14.xml><?xml version="1.0" encoding="utf-8"?>
<x:worksheet xmlns:x="http://schemas.openxmlformats.org/spreadsheetml/2006/main">
  <x:sheetViews>
    <x:sheetView showGridLines="0" workbookViewId="0"/>
  </x:sheetViews>
  <x:sheetFormatPr defaultRowHeight="15"/>
  <x:cols>
    <x:col min="1" max="1" width="28" hidden="0" customWidth="1"/>
    <x:col min="2" max="2" width="18" hidden="0" customWidth="1"/>
    <x:col min="3" max="3" width="16" hidden="0" customWidth="1"/>
    <x:col min="4" max="4" width="18" hidden="0" customWidth="1"/>
    <x:col min="5" max="5" width="18" hidden="0" customWidth="1"/>
    <x:col min="6" max="6" width="20" hidden="0" customWidth="1"/>
    <x:col min="7" max="7" width="20" hidden="0" customWidth="1"/>
    <x:col min="8" max="8" width="46" hidden="0" customWidth="1"/>
  </x:cols>
  <x:sheetData>
    <x:row r="1" ht="30" customHeight="1">
      <x:c r="A1" s="243" t="str">
        <x:v>新增市场空间：玻璃CNC、金属CNC、海外复制与金刚石铜</x:v>
      </x:c>
      <x:c r="B1" s="243" t="str">
        <x:v>新增市场空间：玻璃CNC、金属CNC、海外复制与金刚石铜</x:v>
      </x:c>
      <x:c r="C1" s="243" t="str">
        <x:v>新增市场空间：玻璃CNC、金属CNC、海外复制与金刚石铜</x:v>
      </x:c>
      <x:c r="D1" s="243" t="str">
        <x:v>新增市场空间：玻璃CNC、金属CNC、海外复制与金刚石铜</x:v>
      </x:c>
      <x:c r="E1" s="243" t="str">
        <x:v>新增市场空间：玻璃CNC、金属CNC、海外复制与金刚石铜</x:v>
      </x:c>
      <x:c r="F1" s="243" t="str">
        <x:v>新增市场空间：玻璃CNC、金属CNC、海外复制与金刚石铜</x:v>
      </x:c>
      <x:c r="G1" s="243" t="str">
        <x:v>新增市场空间：玻璃CNC、金属CNC、海外复制与金刚石铜</x:v>
      </x:c>
      <x:c r="H1" s="243" t="str">
        <x:v>新增市场空间：玻璃CNC、金属CNC、海外复制与金刚石铜</x:v>
      </x:c>
    </x:row>
    <x:row r="2" ht="36" customHeight="1">
      <x:c r="A2" s="246" t="str">
        <x:v>与当前网页报告同步。蓝字为研究输入，黑字为本表公式；市场空间不等于订单、当期交付或收入确认，且不并入2026—2030E主业基准预测。金额单位按表头列示。</x:v>
      </x:c>
      <x:c r="B2" s="246" t="str">
        <x:v>与当前网页报告同步。蓝字为研究输入，黑字为本表公式；市场空间不等于订单、当期交付或收入确认，且不并入2026—2030E主业基准预测。金额单位按表头列示。</x:v>
      </x:c>
      <x:c r="C2" s="246" t="str">
        <x:v>与当前网页报告同步。蓝字为研究输入，黑字为本表公式；市场空间不等于订单、当期交付或收入确认，且不并入2026—2030E主业基准预测。金额单位按表头列示。</x:v>
      </x:c>
      <x:c r="D2" s="246" t="str">
        <x:v>与当前网页报告同步。蓝字为研究输入，黑字为本表公式；市场空间不等于订单、当期交付或收入确认，且不并入2026—2030E主业基准预测。金额单位按表头列示。</x:v>
      </x:c>
      <x:c r="E2" s="246" t="str">
        <x:v>与当前网页报告同步。蓝字为研究输入，黑字为本表公式；市场空间不等于订单、当期交付或收入确认，且不并入2026—2030E主业基准预测。金额单位按表头列示。</x:v>
      </x:c>
      <x:c r="F2" s="246" t="str">
        <x:v>与当前网页报告同步。蓝字为研究输入，黑字为本表公式；市场空间不等于订单、当期交付或收入确认，且不并入2026—2030E主业基准预测。金额单位按表头列示。</x:v>
      </x:c>
      <x:c r="G2" s="246" t="str">
        <x:v>与当前网页报告同步。蓝字为研究输入，黑字为本表公式；市场空间不等于订单、当期交付或收入确认，且不并入2026—2030E主业基准预测。金额单位按表头列示。</x:v>
      </x:c>
      <x:c r="H2" s="246" t="str">
        <x:v>与当前网页报告同步。蓝字为研究输入，黑字为本表公式；市场空间不等于订单、当期交付或收入确认，且不并入2026—2030E主业基准预测。金额单位按表头列示。</x:v>
      </x:c>
    </x:row>
    <x:row r="4" ht="26" customHeight="1">
      <x:c r="A4" s="210" t="str">
        <x:v>金刚石铜复合热扩散片：2026E—2030E价值池</x:v>
      </x:c>
      <x:c r="B4" s="210" t="str">
        <x:v>金刚石铜复合热扩散片：2026E—2030E价值池</x:v>
      </x:c>
      <x:c r="C4" s="210" t="str">
        <x:v>金刚石铜复合热扩散片：2026E—2030E价值池</x:v>
      </x:c>
      <x:c r="D4" s="210" t="str">
        <x:v>金刚石铜复合热扩散片：2026E—2030E价值池</x:v>
      </x:c>
      <x:c r="E4" s="210" t="str">
        <x:v>金刚石铜复合热扩散片：2026E—2030E价值池</x:v>
      </x:c>
      <x:c r="F4" s="210" t="str">
        <x:v>金刚石铜复合热扩散片：2026E—2030E价值池</x:v>
      </x:c>
      <x:c r="G4" s="210" t="str">
        <x:v>金刚石铜复合热扩散片：2026E—2030E价值池</x:v>
      </x:c>
      <x:c r="H4" s="210" t="str">
        <x:v>金刚石铜复合热扩散片：2026E—2030E价值池</x:v>
      </x:c>
    </x:row>
    <x:row r="5" ht="26" customHeight="1">
      <x:c r="A5" s="216" t="str">
        <x:v>年份</x:v>
      </x:c>
      <x:c r="B5" s="216" t="str">
        <x:v>可适配高功耗模块（千个）</x:v>
      </x:c>
      <x:c r="C5" s="216" t="str">
        <x:v>采用率</x:v>
      </x:c>
      <x:c r="D5" s="216" t="str">
        <x:v>单模块价值（元）</x:v>
      </x:c>
      <x:c r="E5" s="216" t="str">
        <x:v>行业价值池（百万元）</x:v>
      </x:c>
      <x:c r="F5" s="216" t="str">
        <x:v>公司可触及份额</x:v>
      </x:c>
      <x:c r="G5" s="216" t="str">
        <x:v>公司可触及收入（百万元）</x:v>
      </x:c>
      <x:c r="H5" s="216" t="str">
        <x:v>产品与边界</x:v>
      </x:c>
    </x:row>
    <x:row r="6" ht="26" customHeight="1">
      <x:c r="A6" s="248" t="n">
        <x:v>2026</x:v>
      </x:c>
      <x:c r="B6" s="224" t="n">
        <x:v>1000</x:v>
      </x:c>
      <x:c r="C6" s="226" t="n">
        <x:v>0.01</x:v>
      </x:c>
      <x:c r="D6" s="250" t="n">
        <x:v>3000</x:v>
      </x:c>
      <x:c r="E6" s="232" t="n">
        <x:f>B6*C6*D6/1000</x:f>
        <x:v>30</x:v>
      </x:c>
      <x:c r="F6" s="226" t="n">
        <x:v>0.05</x:v>
      </x:c>
      <x:c r="G6" s="252" t="n">
        <x:f>E6*F6</x:f>
        <x:v>1.5</x:v>
      </x:c>
      <x:c r="H6" s="219" t="str">
        <x:v>热扩散片 / 热沉：位于芯片或封装与冷板之间，不是芯片衬底</x:v>
      </x:c>
    </x:row>
    <x:row r="7" ht="26" customHeight="1">
      <x:c r="A7" s="248" t="n">
        <x:v>2027</x:v>
      </x:c>
      <x:c r="B7" s="224" t="n">
        <x:v>2000</x:v>
      </x:c>
      <x:c r="C7" s="226" t="n">
        <x:v>0.02</x:v>
      </x:c>
      <x:c r="D7" s="250" t="n">
        <x:v>2800</x:v>
      </x:c>
      <x:c r="E7" s="232" t="n">
        <x:f>B7*C7*D7/1000</x:f>
        <x:v>112</x:v>
      </x:c>
      <x:c r="F7" s="226" t="n">
        <x:v>0.08</x:v>
      </x:c>
      <x:c r="G7" s="252" t="n">
        <x:f>E7*F7</x:f>
        <x:v>8.96</x:v>
      </x:c>
      <x:c r="H7" s="219" t="str">
        <x:v>热扩散片 / 热沉：位于芯片或封装与冷板之间，不是芯片衬底</x:v>
      </x:c>
    </x:row>
    <x:row r="8" ht="26" customHeight="1">
      <x:c r="A8" s="248" t="n">
        <x:v>2028</x:v>
      </x:c>
      <x:c r="B8" s="224" t="n">
        <x:v>3500</x:v>
      </x:c>
      <x:c r="C8" s="226" t="n">
        <x:v>0.04</x:v>
      </x:c>
      <x:c r="D8" s="250" t="n">
        <x:v>2600</x:v>
      </x:c>
      <x:c r="E8" s="232" t="n">
        <x:f>B8*C8*D8/1000</x:f>
        <x:v>364</x:v>
      </x:c>
      <x:c r="F8" s="226" t="n">
        <x:v>0.12</x:v>
      </x:c>
      <x:c r="G8" s="252" t="n">
        <x:f>E8*F8</x:f>
        <x:v>43.68</x:v>
      </x:c>
      <x:c r="H8" s="219" t="str">
        <x:v>热扩散片 / 热沉：位于芯片或封装与冷板之间，不是芯片衬底</x:v>
      </x:c>
    </x:row>
    <x:row r="9" ht="26" customHeight="1">
      <x:c r="A9" s="248" t="n">
        <x:v>2029</x:v>
      </x:c>
      <x:c r="B9" s="224" t="n">
        <x:v>5500</x:v>
      </x:c>
      <x:c r="C9" s="226" t="n">
        <x:v>0.07</x:v>
      </x:c>
      <x:c r="D9" s="250" t="n">
        <x:v>2400</x:v>
      </x:c>
      <x:c r="E9" s="232" t="n">
        <x:f>B9*C9*D9/1000</x:f>
        <x:v>924.0000000000001</x:v>
      </x:c>
      <x:c r="F9" s="226" t="n">
        <x:v>0.15</x:v>
      </x:c>
      <x:c r="G9" s="252" t="n">
        <x:f>E9*F9</x:f>
        <x:v>138.60000000000002</x:v>
      </x:c>
      <x:c r="H9" s="219" t="str">
        <x:v>热扩散片 / 热沉：位于芯片或封装与冷板之间，不是芯片衬底</x:v>
      </x:c>
    </x:row>
    <x:row r="10" ht="26" customHeight="1">
      <x:c r="A10" s="248" t="n">
        <x:v>2030</x:v>
      </x:c>
      <x:c r="B10" s="224" t="n">
        <x:v>8000</x:v>
      </x:c>
      <x:c r="C10" s="226" t="n">
        <x:v>0.1</x:v>
      </x:c>
      <x:c r="D10" s="250" t="n">
        <x:v>2200</x:v>
      </x:c>
      <x:c r="E10" s="232" t="n">
        <x:f>B10*C10*D10/1000</x:f>
        <x:v>1760</x:v>
      </x:c>
      <x:c r="F10" s="226" t="n">
        <x:v>0.18</x:v>
      </x:c>
      <x:c r="G10" s="252" t="n">
        <x:f>E10*F10</x:f>
        <x:v>316.8</x:v>
      </x:c>
      <x:c r="H10" s="219" t="str">
        <x:v>热扩散片 / 热沉：位于芯片或封装与冷板之间，不是芯片衬底</x:v>
      </x:c>
    </x:row>
    <x:row r="11" ht="46" customHeight="1">
      <x:c r="A11" s="236" t="str">
        <x:v>AMD公开规格显示高端加速器功耗已达1,000—1,400W；住友电工已展示金刚石铜热扩散片在高功率半导体激光器中的量产形态。模块数量、采用率、单价和公司可触及份额均为研究假设。</x:v>
      </x:c>
      <x:c r="B11" s="236" t="str">
        <x:v>AMD公开规格显示高端加速器功耗已达1,000—1,400W；住友电工已展示金刚石铜热扩散片在高功率半导体激光器中的量产形态。模块数量、采用率、单价和公司可触及份额均为研究假设。</x:v>
      </x:c>
      <x:c r="C11" s="236" t="str">
        <x:v>AMD公开规格显示高端加速器功耗已达1,000—1,400W；住友电工已展示金刚石铜热扩散片在高功率半导体激光器中的量产形态。模块数量、采用率、单价和公司可触及份额均为研究假设。</x:v>
      </x:c>
      <x:c r="D11" s="236" t="str">
        <x:v>AMD公开规格显示高端加速器功耗已达1,000—1,400W；住友电工已展示金刚石铜热扩散片在高功率半导体激光器中的量产形态。模块数量、采用率、单价和公司可触及份额均为研究假设。</x:v>
      </x:c>
      <x:c r="E11" s="236" t="str">
        <x:v>AMD公开规格显示高端加速器功耗已达1,000—1,400W；住友电工已展示金刚石铜热扩散片在高功率半导体激光器中的量产形态。模块数量、采用率、单价和公司可触及份额均为研究假设。</x:v>
      </x:c>
      <x:c r="F11" s="236" t="str">
        <x:v>AMD公开规格显示高端加速器功耗已达1,000—1,400W；住友电工已展示金刚石铜热扩散片在高功率半导体激光器中的量产形态。模块数量、采用率、单价和公司可触及份额均为研究假设。</x:v>
      </x:c>
      <x:c r="G11" s="236" t="str">
        <x:v>AMD公开规格显示高端加速器功耗已达1,000—1,400W；住友电工已展示金刚石铜热扩散片在高功率半导体激光器中的量产形态。模块数量、采用率、单价和公司可触及份额均为研究假设。</x:v>
      </x:c>
      <x:c r="H11" s="236" t="str">
        <x:v>AMD公开规格显示高端加速器功耗已达1,000—1,400W；住友电工已展示金刚石铜热扩散片在高功率半导体激光器中的量产形态。模块数量、采用率、单价和公司可触及份额均为研究假设。</x:v>
      </x:c>
    </x:row>
    <x:row r="12" ht="26" customHeight="1"/>
    <x:row r="13" ht="26" customHeight="1">
      <x:c r="A13" s="210" t="str">
        <x:v>2027年玻璃CNC需求：公司竞争份额折算</x:v>
      </x:c>
      <x:c r="B13" s="210" t="str">
        <x:v>2027年玻璃CNC需求：公司竞争份额折算</x:v>
      </x:c>
      <x:c r="C13" s="210" t="str">
        <x:v>2027年玻璃CNC需求：公司竞争份额折算</x:v>
      </x:c>
      <x:c r="D13" s="210" t="str">
        <x:v>2027年玻璃CNC需求：公司竞争份额折算</x:v>
      </x:c>
      <x:c r="E13" s="210" t="str">
        <x:v>2027年玻璃CNC需求：公司竞争份额折算</x:v>
      </x:c>
      <x:c r="F13" s="210" t="str">
        <x:v>2027年玻璃CNC需求：公司竞争份额折算</x:v>
      </x:c>
      <x:c r="G13" s="210" t="str">
        <x:v>2027年玻璃CNC需求：公司竞争份额折算</x:v>
      </x:c>
      <x:c r="H13" s="210" t="str">
        <x:v>2027年玻璃CNC需求：公司竞争份额折算</x:v>
      </x:c>
    </x:row>
    <x:row r="14" ht="26" customHeight="1">
      <x:c r="A14" s="216" t="str">
        <x:v>情景</x:v>
      </x:c>
      <x:c r="B14" s="216" t="str">
        <x:v>客户整体需求（台）</x:v>
      </x:c>
      <x:c r="C14" s="216" t="str">
        <x:v>公司竞争份额</x:v>
      </x:c>
      <x:c r="D14" s="216" t="str">
        <x:v>公司可竞争台数（台）</x:v>
      </x:c>
      <x:c r="E14" s="216" t="str">
        <x:v>研究ASP（万元/台）</x:v>
      </x:c>
      <x:c r="F14" s="216" t="str">
        <x:v>理论公司收入（百万元）</x:v>
      </x:c>
      <x:c r="G14" s="216" t="str">
        <x:v>客户设备池（亿元）</x:v>
      </x:c>
      <x:c r="H14" s="216" t="str">
        <x:v>边界</x:v>
      </x:c>
    </x:row>
    <x:row r="15" ht="26" customHeight="1">
      <x:c r="A15" s="219" t="str">
        <x:v>低情景</x:v>
      </x:c>
      <x:c r="B15" s="224" t="n">
        <x:v>20000</x:v>
      </x:c>
      <x:c r="C15" s="226" t="n">
        <x:v>0.1</x:v>
      </x:c>
      <x:c r="D15" s="228" t="n">
        <x:f>B15*C15</x:f>
        <x:v>2000</x:v>
      </x:c>
      <x:c r="E15" s="230" t="n">
        <x:v>15</x:v>
      </x:c>
      <x:c r="F15" s="232" t="n">
        <x:f>D15*E15/100</x:f>
        <x:v>300</x:v>
      </x:c>
      <x:c r="G15" s="232" t="n">
        <x:f>B15*E15/10000</x:f>
        <x:v>30</x:v>
      </x:c>
      <x:c r="H15" s="219" t="str">
        <x:v>可争取空间，不是订单或收入指引</x:v>
      </x:c>
    </x:row>
    <x:row r="16" ht="26" customHeight="1">
      <x:c r="A16" s="219" t="str">
        <x:v>中枢情景</x:v>
      </x:c>
      <x:c r="B16" s="224" t="n">
        <x:v>30000</x:v>
      </x:c>
      <x:c r="C16" s="226" t="n">
        <x:v>0.25</x:v>
      </x:c>
      <x:c r="D16" s="228" t="n">
        <x:f>B16*C16</x:f>
        <x:v>7500</x:v>
      </x:c>
      <x:c r="E16" s="230" t="n">
        <x:v>15</x:v>
      </x:c>
      <x:c r="F16" s="232" t="n">
        <x:f>D16*E16/100</x:f>
        <x:v>1125</x:v>
      </x:c>
      <x:c r="G16" s="232" t="n">
        <x:f>B16*E16/10000</x:f>
        <x:v>45</x:v>
      </x:c>
      <x:c r="H16" s="219" t="str">
        <x:v>可争取空间，不是订单或收入指引</x:v>
      </x:c>
    </x:row>
    <x:row r="17" ht="26" customHeight="1">
      <x:c r="A17" s="219" t="str">
        <x:v>高情景</x:v>
      </x:c>
      <x:c r="B17" s="224" t="n">
        <x:v>40000</x:v>
      </x:c>
      <x:c r="C17" s="226" t="n">
        <x:v>0.4</x:v>
      </x:c>
      <x:c r="D17" s="228" t="n">
        <x:f>B17*C17</x:f>
        <x:v>16000</x:v>
      </x:c>
      <x:c r="E17" s="230" t="n">
        <x:v>15</x:v>
      </x:c>
      <x:c r="F17" s="232" t="n">
        <x:f>D17*E17/100</x:f>
        <x:v>2400</x:v>
      </x:c>
      <x:c r="G17" s="232" t="n">
        <x:f>B17*E17/10000</x:f>
        <x:v>60</x:v>
      </x:c>
      <x:c r="H17" s="219" t="str">
        <x:v>可争取空间，不是订单或收入指引</x:v>
      </x:c>
    </x:row>
    <x:row r="18" ht="46" customHeight="1">
      <x:c r="A18" s="236" t="str">
        <x:v>2万—4万台为研究情景区间，其中产业调研锚点为客户整体3万多台、接近4万台，2万台作为下行情景；份额采用10%—40%竞争区间，15万元/台为产业调研“单台十几万元”的研究中值。结果代表可争取空间，不等于2027年已签订单、当年交付或收入确认。</x:v>
      </x:c>
      <x:c r="B18" s="236" t="str">
        <x:v>2万—4万台为研究情景区间，其中产业调研锚点为客户整体3万多台、接近4万台，2万台作为下行情景；份额采用10%—40%竞争区间，15万元/台为产业调研“单台十几万元”的研究中值。结果代表可争取空间，不等于2027年已签订单、当年交付或收入确认。</x:v>
      </x:c>
      <x:c r="C18" s="236" t="str">
        <x:v>2万—4万台为研究情景区间，其中产业调研锚点为客户整体3万多台、接近4万台，2万台作为下行情景；份额采用10%—40%竞争区间，15万元/台为产业调研“单台十几万元”的研究中值。结果代表可争取空间，不等于2027年已签订单、当年交付或收入确认。</x:v>
      </x:c>
      <x:c r="D18" s="236" t="str">
        <x:v>2万—4万台为研究情景区间，其中产业调研锚点为客户整体3万多台、接近4万台，2万台作为下行情景；份额采用10%—40%竞争区间，15万元/台为产业调研“单台十几万元”的研究中值。结果代表可争取空间，不等于2027年已签订单、当年交付或收入确认。</x:v>
      </x:c>
      <x:c r="E18" s="236" t="str">
        <x:v>2万—4万台为研究情景区间，其中产业调研锚点为客户整体3万多台、接近4万台，2万台作为下行情景；份额采用10%—40%竞争区间，15万元/台为产业调研“单台十几万元”的研究中值。结果代表可争取空间，不等于2027年已签订单、当年交付或收入确认。</x:v>
      </x:c>
      <x:c r="F18" s="236" t="str">
        <x:v>2万—4万台为研究情景区间，其中产业调研锚点为客户整体3万多台、接近4万台，2万台作为下行情景；份额采用10%—40%竞争区间，15万元/台为产业调研“单台十几万元”的研究中值。结果代表可争取空间，不等于2027年已签订单、当年交付或收入确认。</x:v>
      </x:c>
      <x:c r="G18" s="236" t="str">
        <x:v>2万—4万台为研究情景区间，其中产业调研锚点为客户整体3万多台、接近4万台，2万台作为下行情景；份额采用10%—40%竞争区间，15万元/台为产业调研“单台十几万元”的研究中值。结果代表可争取空间，不等于2027年已签订单、当年交付或收入确认。</x:v>
      </x:c>
      <x:c r="H18" s="236" t="str">
        <x:v>2万—4万台为研究情景区间，其中产业调研锚点为客户整体3万多台、接近4万台，2万台作为下行情景；份额采用10%—40%竞争区间，15万元/台为产业调研“单台十几万元”的研究中值。结果代表可争取空间，不等于2027年已签订单、当年交付或收入确认。</x:v>
      </x:c>
    </x:row>
    <x:row r="19" ht="26" customHeight="1"/>
    <x:row r="20" ht="26" customHeight="1">
      <x:c r="A20" s="210" t="str">
        <x:v>国内金属CNC更新：2027—2028年更新窗口</x:v>
      </x:c>
      <x:c r="B20" s="210" t="str">
        <x:v>国内金属CNC更新：2027—2028年更新窗口</x:v>
      </x:c>
      <x:c r="C20" s="210" t="str">
        <x:v>国内金属CNC更新：2027—2028年更新窗口</x:v>
      </x:c>
      <x:c r="D20" s="210" t="str">
        <x:v>国内金属CNC更新：2027—2028年更新窗口</x:v>
      </x:c>
      <x:c r="E20" s="210" t="str">
        <x:v>国内金属CNC更新：2027—2028年更新窗口</x:v>
      </x:c>
      <x:c r="F20" s="210" t="str">
        <x:v>国内金属CNC更新：2027—2028年更新窗口</x:v>
      </x:c>
      <x:c r="G20" s="210" t="str">
        <x:v>国内金属CNC更新：2027—2028年更新窗口</x:v>
      </x:c>
      <x:c r="H20" s="210" t="str">
        <x:v>国内金属CNC更新：2027—2028年更新窗口</x:v>
      </x:c>
    </x:row>
    <x:row r="21" ht="26" customHeight="1">
      <x:c r="A21" s="216" t="str">
        <x:v>情景</x:v>
      </x:c>
      <x:c r="B21" s="216" t="str">
        <x:v>设备保有量（台）</x:v>
      </x:c>
      <x:c r="C21" s="216" t="str">
        <x:v>更新率</x:v>
      </x:c>
      <x:c r="D21" s="216" t="str">
        <x:v>更新设备量（台）</x:v>
      </x:c>
      <x:c r="E21" s="216" t="str">
        <x:v>ASP（万元/台）</x:v>
      </x:c>
      <x:c r="F21" s="216" t="str">
        <x:v>行业更新设备池（亿元）</x:v>
      </x:c>
      <x:c r="G21" s="216" t="str">
        <x:v>公司竞争份额</x:v>
      </x:c>
      <x:c r="H21" s="216" t="str">
        <x:v>理论公司收入（亿元）</x:v>
      </x:c>
    </x:row>
    <x:row r="22" ht="26" customHeight="1">
      <x:c r="A22" s="219" t="str">
        <x:v>低情景</x:v>
      </x:c>
      <x:c r="B22" s="224" t="n">
        <x:v>180000</x:v>
      </x:c>
      <x:c r="C22" s="226" t="n">
        <x:v>0.65</x:v>
      </x:c>
      <x:c r="D22" s="228" t="n">
        <x:f>B22*C22</x:f>
        <x:v>117000</x:v>
      </x:c>
      <x:c r="E22" s="230" t="n">
        <x:v>18</x:v>
      </x:c>
      <x:c r="F22" s="232" t="n">
        <x:f>D22*E22/10000</x:f>
        <x:v>210.6</x:v>
      </x:c>
      <x:c r="G22" s="226" t="n">
        <x:v>0.1</x:v>
      </x:c>
      <x:c r="H22" s="232" t="n">
        <x:f>F22*G22</x:f>
        <x:v>21.060000000000002</x:v>
      </x:c>
    </x:row>
    <x:row r="23" ht="26" customHeight="1">
      <x:c r="A23" s="219" t="str">
        <x:v>中枢情景</x:v>
      </x:c>
      <x:c r="B23" s="224" t="n">
        <x:v>180000</x:v>
      </x:c>
      <x:c r="C23" s="226" t="n">
        <x:v>0.75</x:v>
      </x:c>
      <x:c r="D23" s="228" t="n">
        <x:f>B23*C23</x:f>
        <x:v>135000</x:v>
      </x:c>
      <x:c r="E23" s="230" t="n">
        <x:v>22</x:v>
      </x:c>
      <x:c r="F23" s="232" t="n">
        <x:f>D23*E23/10000</x:f>
        <x:v>297</x:v>
      </x:c>
      <x:c r="G23" s="226" t="n">
        <x:v>0.25</x:v>
      </x:c>
      <x:c r="H23" s="232" t="n">
        <x:f>F23*G23</x:f>
        <x:v>74.25</x:v>
      </x:c>
    </x:row>
    <x:row r="24" ht="26" customHeight="1">
      <x:c r="A24" s="219" t="str">
        <x:v>高情景</x:v>
      </x:c>
      <x:c r="B24" s="224" t="n">
        <x:v>180000</x:v>
      </x:c>
      <x:c r="C24" s="226" t="n">
        <x:v>0.85</x:v>
      </x:c>
      <x:c r="D24" s="228" t="n">
        <x:f>B24*C24</x:f>
        <x:v>153000</x:v>
      </x:c>
      <x:c r="E24" s="230" t="n">
        <x:v>28</x:v>
      </x:c>
      <x:c r="F24" s="232" t="n">
        <x:f>D24*E24/10000</x:f>
        <x:v>428.4</x:v>
      </x:c>
      <x:c r="G24" s="226" t="n">
        <x:v>0.4</x:v>
      </x:c>
      <x:c r="H24" s="232" t="n">
        <x:f>F24*G24</x:f>
        <x:v>171.36</x:v>
      </x:c>
    </x:row>
    <x:row r="25" ht="46" customHeight="1">
      <x:c r="A25" s="236" t="str">
        <x:v>行业调研估计A客户国内金属加工设备保有量约18万台，其中大部分将在2027—2028年进入更新窗口；75%更新率、22万元/台ASP为研究基准，公司可竞争份额采用10%—40%研究情景。</x:v>
      </x:c>
      <x:c r="B25" s="236" t="str">
        <x:v>行业调研估计A客户国内金属加工设备保有量约18万台，其中大部分将在2027—2028年进入更新窗口；75%更新率、22万元/台ASP为研究基准，公司可竞争份额采用10%—40%研究情景。</x:v>
      </x:c>
      <x:c r="C25" s="236" t="str">
        <x:v>行业调研估计A客户国内金属加工设备保有量约18万台，其中大部分将在2027—2028年进入更新窗口；75%更新率、22万元/台ASP为研究基准，公司可竞争份额采用10%—40%研究情景。</x:v>
      </x:c>
      <x:c r="D25" s="236" t="str">
        <x:v>行业调研估计A客户国内金属加工设备保有量约18万台，其中大部分将在2027—2028年进入更新窗口；75%更新率、22万元/台ASP为研究基准，公司可竞争份额采用10%—40%研究情景。</x:v>
      </x:c>
      <x:c r="E25" s="236" t="str">
        <x:v>行业调研估计A客户国内金属加工设备保有量约18万台，其中大部分将在2027—2028年进入更新窗口；75%更新率、22万元/台ASP为研究基准，公司可竞争份额采用10%—40%研究情景。</x:v>
      </x:c>
      <x:c r="F25" s="236" t="str">
        <x:v>行业调研估计A客户国内金属加工设备保有量约18万台，其中大部分将在2027—2028年进入更新窗口；75%更新率、22万元/台ASP为研究基准，公司可竞争份额采用10%—40%研究情景。</x:v>
      </x:c>
      <x:c r="G25" s="236" t="str">
        <x:v>行业调研估计A客户国内金属加工设备保有量约18万台，其中大部分将在2027—2028年进入更新窗口；75%更新率、22万元/台ASP为研究基准，公司可竞争份额采用10%—40%研究情景。</x:v>
      </x:c>
      <x:c r="H25" s="236" t="str">
        <x:v>行业调研估计A客户国内金属加工设备保有量约18万台，其中大部分将在2027—2028年进入更新窗口；75%更新率、22万元/台ASP为研究基准，公司可竞争份额采用10%—40%研究情景。</x:v>
      </x:c>
    </x:row>
    <x:row r="26" ht="26" customHeight="1"/>
    <x:row r="27" ht="26" customHeight="1">
      <x:c r="A27" s="210" t="str">
        <x:v>海外工厂后续复制：5万—15万台情景</x:v>
      </x:c>
      <x:c r="B27" s="210" t="str">
        <x:v>海外工厂后续复制：5万—15万台情景</x:v>
      </x:c>
      <x:c r="C27" s="210" t="str">
        <x:v>海外工厂后续复制：5万—15万台情景</x:v>
      </x:c>
      <x:c r="D27" s="210" t="str">
        <x:v>海外工厂后续复制：5万—15万台情景</x:v>
      </x:c>
      <x:c r="E27" s="210" t="str">
        <x:v>海外工厂后续复制：5万—15万台情景</x:v>
      </x:c>
      <x:c r="F27" s="210" t="str">
        <x:v>海外工厂后续复制：5万—15万台情景</x:v>
      </x:c>
      <x:c r="G27" s="210" t="str">
        <x:v>海外工厂后续复制：5万—15万台情景</x:v>
      </x:c>
      <x:c r="H27" s="210" t="str">
        <x:v>海外工厂后续复制：5万—15万台情景</x:v>
      </x:c>
    </x:row>
    <x:row r="28" ht="26" customHeight="1">
      <x:c r="A28" s="216" t="str">
        <x:v>情景</x:v>
      </x:c>
      <x:c r="B28" s="216" t="str">
        <x:v>后续复制设备量（台）</x:v>
      </x:c>
      <x:c r="C28" s="216" t="str">
        <x:v>ASP（万元/台）</x:v>
      </x:c>
      <x:c r="D28" s="216" t="str">
        <x:v>设备空间（亿元）</x:v>
      </x:c>
      <x:c r="E28" s="216" t="str">
        <x:v>验证起点</x:v>
      </x:c>
      <x:c r="F28" s="216" t="str">
        <x:v>状态与边界</x:v>
      </x:c>
      <x:c r="G28" s="216"/>
      <x:c r="H28" s="216"/>
    </x:row>
    <x:row r="29" ht="26" customHeight="1">
      <x:c r="A29" s="219" t="str">
        <x:v>低情景</x:v>
      </x:c>
      <x:c r="B29" s="224" t="n">
        <x:v>50000</x:v>
      </x:c>
      <x:c r="C29" s="230" t="n">
        <x:v>18</x:v>
      </x:c>
      <x:c r="D29" s="232" t="n">
        <x:f>B29*C29/10000</x:f>
        <x:v>90</x:v>
      </x:c>
      <x:c r="E29" s="224" t="n">
        <x:v>50</x:v>
      </x:c>
      <x:c r="F29" s="219" t="str">
        <x:v>产业链调研称首批设备已完成海外工厂测试，仍需取得出口审批并完成客户验收。</x:v>
      </x:c>
      <x:c r="G29" s="219" t="str">
        <x:v>产业链调研称首批设备已完成海外工厂测试，仍需取得出口审批并完成客户验收。</x:v>
      </x:c>
      <x:c r="H29" s="219" t="str">
        <x:v>产业链调研称首批设备已完成海外工厂测试，仍需取得出口审批并完成客户验收。</x:v>
      </x:c>
    </x:row>
    <x:row r="30" ht="26" customHeight="1">
      <x:c r="A30" s="219" t="str">
        <x:v>中枢情景</x:v>
      </x:c>
      <x:c r="B30" s="224" t="n">
        <x:v>100000</x:v>
      </x:c>
      <x:c r="C30" s="230" t="n">
        <x:v>22</x:v>
      </x:c>
      <x:c r="D30" s="232" t="n">
        <x:f>B30*C30/10000</x:f>
        <x:v>220</x:v>
      </x:c>
      <x:c r="E30" s="224" t="n">
        <x:v>50</x:v>
      </x:c>
      <x:c r="F30" s="219" t="str">
        <x:v>产业链调研称首批设备已完成海外工厂测试，仍需取得出口审批并完成客户验收。</x:v>
      </x:c>
      <x:c r="G30" s="219" t="str">
        <x:v>产业链调研称首批设备已完成海外工厂测试，仍需取得出口审批并完成客户验收。</x:v>
      </x:c>
      <x:c r="H30" s="219" t="str">
        <x:v>产业链调研称首批设备已完成海外工厂测试，仍需取得出口审批并完成客户验收。</x:v>
      </x:c>
    </x:row>
    <x:row r="31" ht="26" customHeight="1">
      <x:c r="A31" s="219" t="str">
        <x:v>高情景</x:v>
      </x:c>
      <x:c r="B31" s="224" t="n">
        <x:v>150000</x:v>
      </x:c>
      <x:c r="C31" s="230" t="n">
        <x:v>28</x:v>
      </x:c>
      <x:c r="D31" s="232" t="n">
        <x:f>B31*C31/10000</x:f>
        <x:v>420</x:v>
      </x:c>
      <x:c r="E31" s="224" t="n">
        <x:v>50</x:v>
      </x:c>
      <x:c r="F31" s="219" t="str">
        <x:v>产业链调研称首批设备已完成海外工厂测试，仍需取得出口审批并完成客户验收。</x:v>
      </x:c>
      <x:c r="G31" s="219" t="str">
        <x:v>产业链调研称首批设备已完成海外工厂测试，仍需取得出口审批并完成客户验收。</x:v>
      </x:c>
      <x:c r="H31" s="219" t="str">
        <x:v>产业链调研称首批设备已完成海外工厂测试，仍需取得出口审批并完成客户验收。</x:v>
      </x:c>
    </x:row>
    <x:row r="32" ht="46" customHeight="1">
      <x:c r="A32" s="236" t="str">
        <x:v>越南首批50台是验证起点，不是已确认收入；5万—15万台为海外多工厂后续复制空间的研究情景，不是首批项目的直接外推，也不等同于公司订单或收入指引。</x:v>
      </x:c>
      <x:c r="B32" s="236" t="str">
        <x:v>越南首批50台是验证起点，不是已确认收入；5万—15万台为海外多工厂后续复制空间的研究情景，不是首批项目的直接外推，也不等同于公司订单或收入指引。</x:v>
      </x:c>
      <x:c r="C32" s="236" t="str">
        <x:v>越南首批50台是验证起点，不是已确认收入；5万—15万台为海外多工厂后续复制空间的研究情景，不是首批项目的直接外推，也不等同于公司订单或收入指引。</x:v>
      </x:c>
      <x:c r="D32" s="236" t="str">
        <x:v>越南首批50台是验证起点，不是已确认收入；5万—15万台为海外多工厂后续复制空间的研究情景，不是首批项目的直接外推，也不等同于公司订单或收入指引。</x:v>
      </x:c>
      <x:c r="E32" s="236" t="str">
        <x:v>越南首批50台是验证起点，不是已确认收入；5万—15万台为海外多工厂后续复制空间的研究情景，不是首批项目的直接外推，也不等同于公司订单或收入指引。</x:v>
      </x:c>
      <x:c r="F32" s="236" t="str">
        <x:v>越南首批50台是验证起点，不是已确认收入；5万—15万台为海外多工厂后续复制空间的研究情景，不是首批项目的直接外推，也不等同于公司订单或收入指引。</x:v>
      </x:c>
      <x:c r="G32" s="236" t="str">
        <x:v>越南首批50台是验证起点，不是已确认收入；5万—15万台为海外多工厂后续复制空间的研究情景，不是首批项目的直接外推，也不等同于公司订单或收入指引。</x:v>
      </x:c>
      <x:c r="H32" s="236" t="str">
        <x:v>越南首批50台是验证起点，不是已确认收入；5万—15万台为海外多工厂后续复制空间的研究情景，不是首批项目的直接外推，也不等同于公司订单或收入指引。</x:v>
      </x:c>
    </x:row>
    <x:row r="33" ht="26" customHeight="1"/>
    <x:row r="34" ht="26" customHeight="1">
      <x:c r="A34" s="210" t="str">
        <x:v>A客户供应链空间：年度流量与设备周期存量分层</x:v>
      </x:c>
      <x:c r="B34" s="210" t="str">
        <x:v>A客户供应链空间：年度流量与设备周期存量分层</x:v>
      </x:c>
      <x:c r="C34" s="210" t="str">
        <x:v>A客户供应链空间：年度流量与设备周期存量分层</x:v>
      </x:c>
      <x:c r="D34" s="210" t="str">
        <x:v>A客户供应链空间：年度流量与设备周期存量分层</x:v>
      </x:c>
      <x:c r="E34" s="210" t="str">
        <x:v>A客户供应链空间：年度流量与设备周期存量分层</x:v>
      </x:c>
      <x:c r="F34" s="210" t="str">
        <x:v>A客户供应链空间：年度流量与设备周期存量分层</x:v>
      </x:c>
      <x:c r="G34" s="210" t="str">
        <x:v>A客户供应链空间：年度流量与设备周期存量分层</x:v>
      </x:c>
      <x:c r="H34" s="210" t="str">
        <x:v>A客户供应链空间：年度流量与设备周期存量分层</x:v>
      </x:c>
    </x:row>
    <x:row r="35" ht="26" customHeight="1">
      <x:c r="A35" s="216" t="str">
        <x:v>关键输入</x:v>
      </x:c>
      <x:c r="B35" s="216" t="str">
        <x:v>数值</x:v>
      </x:c>
      <x:c r="C35" s="216" t="str">
        <x:v>单位</x:v>
      </x:c>
      <x:c r="D35" s="216" t="str">
        <x:v>说明</x:v>
      </x:c>
      <x:c r="E35" s="216"/>
      <x:c r="F35" s="216"/>
      <x:c r="G35" s="216"/>
      <x:c r="H35" s="216"/>
    </x:row>
    <x:row r="36" ht="26" customHeight="1">
      <x:c r="A36" s="219" t="str">
        <x:v>FY2025全部产品销售成本</x:v>
      </x:c>
      <x:c r="B36" s="254" t="n">
        <x:v>194.116</x:v>
      </x:c>
      <x:c r="C36" s="219" t="str">
        <x:v>十亿美元</x:v>
      </x:c>
      <x:c r="D36" s="219" t="str">
        <x:v>全部产品供应链采购上限代理的原始值</x:v>
      </x:c>
    </x:row>
    <x:row r="37" ht="26" customHeight="1">
      <x:c r="A37" s="219" t="str">
        <x:v>研究汇率</x:v>
      </x:c>
      <x:c r="B37" s="254" t="n">
        <x:v>7.2</x:v>
      </x:c>
      <x:c r="C37" s="219" t="str">
        <x:v>元/美元</x:v>
      </x:c>
      <x:c r="D37" s="219" t="str">
        <x:v>仅用于数量级折算</x:v>
      </x:c>
    </x:row>
    <x:row r="38" ht="26" customHeight="1">
      <x:c r="A38" s="219" t="str">
        <x:v>年度终端池</x:v>
      </x:c>
      <x:c r="B38" s="254" t="n">
        <x:v>240</x:v>
      </x:c>
      <x:c r="C38" s="219" t="str">
        <x:v>百万部</x:v>
      </x:c>
      <x:c r="D38" s="219" t="str">
        <x:v>加工池研究输入</x:v>
      </x:c>
    </x:row>
    <x:row r="39" ht="26" customHeight="1">
      <x:c r="A39" s="219" t="str">
        <x:v>前端片数放大系数</x:v>
      </x:c>
      <x:c r="B39" s="254" t="n">
        <x:v>1.4</x:v>
      </x:c>
      <x:c r="C39" s="219" t="str">
        <x:v>倍</x:v>
      </x:c>
      <x:c r="D39" s="219" t="str">
        <x:v>加工池研究输入</x:v>
      </x:c>
    </x:row>
    <x:row r="40" ht="26" customHeight="1">
      <x:c r="A40" s="219" t="str">
        <x:v>单片加工费</x:v>
      </x:c>
      <x:c r="B40" s="254" t="n">
        <x:v>10</x:v>
      </x:c>
      <x:c r="C40" s="219" t="str">
        <x:v>元/片</x:v>
      </x:c>
      <x:c r="D40" s="219" t="str">
        <x:v>加工池研究输入</x:v>
      </x:c>
    </x:row>
    <x:row r="41" ht="26" customHeight="1">
      <x:c r="A41" s="219" t="str">
        <x:v>年度耗材池</x:v>
      </x:c>
      <x:c r="B41" s="254" t="n">
        <x:v>25</x:v>
      </x:c>
      <x:c r="C41" s="219" t="str">
        <x:v>亿元</x:v>
      </x:c>
      <x:c r="D41" s="219" t="str">
        <x:v>2027E可争取池研究口径</x:v>
      </x:c>
    </x:row>
    <x:row r="42" ht="26" customHeight="1"/>
    <x:row r="43" ht="26" customHeight="1">
      <x:c r="A43" s="216" t="str">
        <x:v>输出指标</x:v>
      </x:c>
      <x:c r="B43" s="216" t="str">
        <x:v>低情景</x:v>
      </x:c>
      <x:c r="C43" s="216" t="str">
        <x:v>中枢情景</x:v>
      </x:c>
      <x:c r="D43" s="216" t="str">
        <x:v>高情景</x:v>
      </x:c>
      <x:c r="E43" s="216" t="str">
        <x:v>单位</x:v>
      </x:c>
      <x:c r="F43" s="216" t="str">
        <x:v>公式与边界</x:v>
      </x:c>
      <x:c r="G43" s="216"/>
      <x:c r="H43" s="216"/>
    </x:row>
    <x:row r="44" ht="26" customHeight="1">
      <x:c r="A44" s="219" t="str">
        <x:v>全部产品供应链采购上限代理</x:v>
      </x:c>
      <x:c r="B44" s="252" t="n">
        <x:f>B36*B37*10</x:f>
        <x:v>13976.352000000003</x:v>
      </x:c>
      <x:c r="C44" s="252" t="n">
        <x:f>B44</x:f>
        <x:v>13976.352000000003</x:v>
      </x:c>
      <x:c r="D44" s="252" t="n">
        <x:f>B44</x:f>
        <x:v>13976.352000000003</x:v>
      </x:c>
      <x:c r="E44" s="219" t="str">
        <x:v>亿元</x:v>
      </x:c>
      <x:c r="F44" s="219" t="str">
        <x:v>只观察全部产品供应链数量级，不是岱勒TAM</x:v>
      </x:c>
      <x:c r="G44" s="219" t="str">
        <x:v>只观察全部产品供应链数量级，不是岱勒TAM</x:v>
      </x:c>
      <x:c r="H44" s="219" t="str">
        <x:v>只观察全部产品供应链数量级，不是岱勒TAM</x:v>
      </x:c>
    </x:row>
    <x:row r="45" ht="26" customHeight="1">
      <x:c r="A45" s="219" t="str">
        <x:v>年度玻璃加工池</x:v>
      </x:c>
      <x:c r="B45" s="252" t="n">
        <x:f>B38*B39*B40/100</x:f>
        <x:v>33.6</x:v>
      </x:c>
      <x:c r="C45" s="252" t="n">
        <x:f>B45</x:f>
        <x:v>33.6</x:v>
      </x:c>
      <x:c r="D45" s="252" t="n">
        <x:f>B45</x:f>
        <x:v>33.6</x:v>
      </x:c>
      <x:c r="E45" s="219" t="str">
        <x:v>亿元/年</x:v>
      </x:c>
      <x:c r="F45" s="219" t="str">
        <x:v>年度流量，不能与设备周期池直接相加</x:v>
      </x:c>
      <x:c r="G45" s="219" t="str">
        <x:v>年度流量，不能与设备周期池直接相加</x:v>
      </x:c>
      <x:c r="H45" s="219" t="str">
        <x:v>年度流量，不能与设备周期池直接相加</x:v>
      </x:c>
    </x:row>
    <x:row r="46" ht="26" customHeight="1">
      <x:c r="A46" s="219" t="str">
        <x:v>年度耗材池</x:v>
      </x:c>
      <x:c r="B46" s="252" t="n">
        <x:f>B41</x:f>
        <x:v>25</x:v>
      </x:c>
      <x:c r="C46" s="252" t="n">
        <x:f>B46</x:f>
        <x:v>25</x:v>
      </x:c>
      <x:c r="D46" s="252" t="n">
        <x:f>B46</x:f>
        <x:v>25</x:v>
      </x:c>
      <x:c r="E46" s="219" t="str">
        <x:v>亿元/年</x:v>
      </x:c>
      <x:c r="F46" s="219" t="str">
        <x:v>年度流量，不能与设备周期池直接相加</x:v>
      </x:c>
      <x:c r="G46" s="219" t="str">
        <x:v>年度流量，不能与设备周期池直接相加</x:v>
      </x:c>
      <x:c r="H46" s="219" t="str">
        <x:v>年度流量，不能与设备周期池直接相加</x:v>
      </x:c>
    </x:row>
    <x:row r="47" ht="26" customHeight="1">
      <x:c r="A47" s="219" t="str">
        <x:v>玻璃CNC设备池</x:v>
      </x:c>
      <x:c r="B47" s="252" t="n">
        <x:f>G15</x:f>
        <x:v>30</x:v>
      </x:c>
      <x:c r="C47" s="252" t="n">
        <x:f>G16</x:f>
        <x:v>45</x:v>
      </x:c>
      <x:c r="D47" s="252" t="n">
        <x:f>G17</x:f>
        <x:v>60</x:v>
      </x:c>
      <x:c r="E47" s="219" t="str">
        <x:v>亿元</x:v>
      </x:c>
      <x:c r="F47" s="219" t="str">
        <x:v>客户整体设备池，不是公司收入</x:v>
      </x:c>
      <x:c r="G47" s="219" t="str">
        <x:v>客户整体设备池，不是公司收入</x:v>
      </x:c>
      <x:c r="H47" s="219" t="str">
        <x:v>客户整体设备池，不是公司收入</x:v>
      </x:c>
    </x:row>
    <x:row r="48" ht="26" customHeight="1">
      <x:c r="A48" s="219" t="str">
        <x:v>国内金属CNC更新池</x:v>
      </x:c>
      <x:c r="B48" s="252" t="n">
        <x:f>F22</x:f>
        <x:v>210.6</x:v>
      </x:c>
      <x:c r="C48" s="252" t="n">
        <x:f>F23</x:f>
        <x:v>297</x:v>
      </x:c>
      <x:c r="D48" s="252" t="n">
        <x:f>F24</x:f>
        <x:v>428.4</x:v>
      </x:c>
      <x:c r="E48" s="219" t="str">
        <x:v>亿元</x:v>
      </x:c>
      <x:c r="F48" s="219" t="str">
        <x:v>跨年度更新存量，不是公司订单</x:v>
      </x:c>
      <x:c r="G48" s="219" t="str">
        <x:v>跨年度更新存量，不是公司订单</x:v>
      </x:c>
      <x:c r="H48" s="219" t="str">
        <x:v>跨年度更新存量，不是公司订单</x:v>
      </x:c>
    </x:row>
    <x:row r="49" ht="26" customHeight="1">
      <x:c r="A49" s="219" t="str">
        <x:v>海外复制设备池</x:v>
      </x:c>
      <x:c r="B49" s="252" t="n">
        <x:f>D29</x:f>
        <x:v>90</x:v>
      </x:c>
      <x:c r="C49" s="252" t="n">
        <x:f>D30</x:f>
        <x:v>220</x:v>
      </x:c>
      <x:c r="D49" s="252" t="n">
        <x:f>D31</x:f>
        <x:v>420</x:v>
      </x:c>
      <x:c r="E49" s="219" t="str">
        <x:v>亿元</x:v>
      </x:c>
      <x:c r="F49" s="219" t="str">
        <x:v>海外多工厂复制情景，不是公司订单</x:v>
      </x:c>
      <x:c r="G49" s="219" t="str">
        <x:v>海外多工厂复制情景，不是公司订单</x:v>
      </x:c>
      <x:c r="H49" s="219" t="str">
        <x:v>海外多工厂复制情景，不是公司订单</x:v>
      </x:c>
    </x:row>
    <x:row r="50" ht="26" customHeight="1">
      <x:c r="A50" s="257" t="str">
        <x:v>设备周期池合计</x:v>
      </x:c>
      <x:c r="B50" s="258" t="n">
        <x:f>SUM(B47:B49)</x:f>
        <x:v>330.6</x:v>
      </x:c>
      <x:c r="C50" s="258" t="n">
        <x:f>SUM(C47:C49)</x:f>
        <x:v>562</x:v>
      </x:c>
      <x:c r="D50" s="258" t="n">
        <x:f>SUM(D47:D49)</x:f>
        <x:v>908.4</x:v>
      </x:c>
      <x:c r="E50" s="257" t="str">
        <x:v>亿元</x:v>
      </x:c>
      <x:c r="F50" s="257" t="str">
        <x:v>玻璃CNC＋国内金属CNC更新＋海外复制</x:v>
      </x:c>
      <x:c r="G50" s="257" t="str">
        <x:v>玻璃CNC＋国内金属CNC更新＋海外复制</x:v>
      </x:c>
      <x:c r="H50" s="257" t="str">
        <x:v>玻璃CNC＋国内金属CNC更新＋海外复制</x:v>
      </x:c>
    </x:row>
    <x:row r="51" ht="46" customHeight="1">
      <x:c r="A51" s="236" t="str">
        <x:v>A客户全部产品销售成本用于观察整条产品供应链采购盘子的数量级，不是手机单品成本，也不是岱勒可获得市场。加工池和耗材池为年度流量；设备池为玻璃CNC、国内金属CNC更新与海外复制的跨年度情景总额，存在时间错配、工序交叉和供应商重叠，不能与年度流量直接相加，也不能直接作为公司收入预测。</x:v>
      </x:c>
      <x:c r="B51" s="236" t="str">
        <x:v>A客户全部产品销售成本用于观察整条产品供应链采购盘子的数量级，不是手机单品成本，也不是岱勒可获得市场。加工池和耗材池为年度流量；设备池为玻璃CNC、国内金属CNC更新与海外复制的跨年度情景总额，存在时间错配、工序交叉和供应商重叠，不能与年度流量直接相加，也不能直接作为公司收入预测。</x:v>
      </x:c>
      <x:c r="C51" s="236" t="str">
        <x:v>A客户全部产品销售成本用于观察整条产品供应链采购盘子的数量级，不是手机单品成本，也不是岱勒可获得市场。加工池和耗材池为年度流量；设备池为玻璃CNC、国内金属CNC更新与海外复制的跨年度情景总额，存在时间错配、工序交叉和供应商重叠，不能与年度流量直接相加，也不能直接作为公司收入预测。</x:v>
      </x:c>
      <x:c r="D51" s="236" t="str">
        <x:v>A客户全部产品销售成本用于观察整条产品供应链采购盘子的数量级，不是手机单品成本，也不是岱勒可获得市场。加工池和耗材池为年度流量；设备池为玻璃CNC、国内金属CNC更新与海外复制的跨年度情景总额，存在时间错配、工序交叉和供应商重叠，不能与年度流量直接相加，也不能直接作为公司收入预测。</x:v>
      </x:c>
      <x:c r="E51" s="236" t="str">
        <x:v>A客户全部产品销售成本用于观察整条产品供应链采购盘子的数量级，不是手机单品成本，也不是岱勒可获得市场。加工池和耗材池为年度流量；设备池为玻璃CNC、国内金属CNC更新与海外复制的跨年度情景总额，存在时间错配、工序交叉和供应商重叠，不能与年度流量直接相加，也不能直接作为公司收入预测。</x:v>
      </x:c>
      <x:c r="F51" s="236" t="str">
        <x:v>A客户全部产品销售成本用于观察整条产品供应链采购盘子的数量级，不是手机单品成本，也不是岱勒可获得市场。加工池和耗材池为年度流量；设备池为玻璃CNC、国内金属CNC更新与海外复制的跨年度情景总额，存在时间错配、工序交叉和供应商重叠，不能与年度流量直接相加，也不能直接作为公司收入预测。</x:v>
      </x:c>
      <x:c r="G51" s="236" t="str">
        <x:v>A客户全部产品销售成本用于观察整条产品供应链采购盘子的数量级，不是手机单品成本，也不是岱勒可获得市场。加工池和耗材池为年度流量；设备池为玻璃CNC、国内金属CNC更新与海外复制的跨年度情景总额，存在时间错配、工序交叉和供应商重叠，不能与年度流量直接相加，也不能直接作为公司收入预测。</x:v>
      </x:c>
      <x:c r="H51" s="236" t="str">
        <x:v>A客户全部产品销售成本用于观察整条产品供应链采购盘子的数量级，不是手机单品成本，也不是岱勒可获得市场。加工池和耗材池为年度流量；设备池为玻璃CNC、国内金属CNC更新与海外复制的跨年度情景总额，存在时间错配、工序交叉和供应商重叠，不能与年度流量直接相加，也不能直接作为公司收入预测。</x:v>
      </x:c>
    </x:row>
  </x:sheetData>
  <x:mergeCells>
    <x:mergeCell ref="A1:H1"/>
    <x:mergeCell ref="A2:H2"/>
    <x:mergeCell ref="A4:H4"/>
    <x:mergeCell ref="A11:H11"/>
    <x:mergeCell ref="A13:H13"/>
    <x:mergeCell ref="A18:H18"/>
    <x:mergeCell ref="A20:H20"/>
    <x:mergeCell ref="A25:H25"/>
    <x:mergeCell ref="A27:H27"/>
    <x:mergeCell ref="F29:H29"/>
    <x:mergeCell ref="F30:H30"/>
    <x:mergeCell ref="F31:H31"/>
    <x:mergeCell ref="A32:H32"/>
    <x:mergeCell ref="A34:H34"/>
    <x:mergeCell ref="F44:H44"/>
    <x:mergeCell ref="F45:H45"/>
    <x:mergeCell ref="F46:H46"/>
    <x:mergeCell ref="F47:H47"/>
    <x:mergeCell ref="F48:H48"/>
    <x:mergeCell ref="F49:H49"/>
    <x:mergeCell ref="F50:H50"/>
    <x:mergeCell ref="A51:H51"/>
  </x:mergeCells>
  <x:pageMargins left="0.7" right="0.7" top="0.75" bottom="0.75" header="0.3" footer="0.3"/>
</x:worksheet>
</file>