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3.xml" ContentType="application/vnd.openxmlformats-officedocument.drawingml.char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drawings/charts/chart4.xml" ContentType="application/vnd.openxmlformats-officedocument.drawingml.chart+xml"/>
  <Override PartName="/xl/drawings/charts/chart5.xml" ContentType="application/vnd.openxmlformats-officedocument.drawingml.chart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drawings/charts/chart6.xml" ContentType="application/vnd.openxmlformats-officedocument.drawingml.chart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drawings/charts/chart7.xml" ContentType="application/vnd.openxmlformats-officedocument.drawingml.chart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drawings/charts/chart8.xml" ContentType="application/vnd.openxmlformats-officedocument.drawingml.char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55597de054b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总览" sheetId="1" r:id="R136bb6954faa4550"/>
    <x:sheet xmlns:r="http://schemas.openxmlformats.org/officeDocument/2006/relationships" name="模型参数" sheetId="2" r:id="R0872c37f612b4d0e"/>
    <x:sheet xmlns:r="http://schemas.openxmlformats.org/officeDocument/2006/relationships" name="AI基建投资" sheetId="3" r:id="R1881e0cad74b4407"/>
    <x:sheet xmlns:r="http://schemas.openxmlformats.org/officeDocument/2006/relationships" name="Token量价利" sheetId="4" r:id="Ra7e9f1e25fbc4631"/>
    <x:sheet xmlns:r="http://schemas.openxmlformats.org/officeDocument/2006/relationships" name="工作流ROI" sheetId="5" r:id="R56c8dce1ed2748eb"/>
    <x:sheet xmlns:r="http://schemas.openxmlformats.org/officeDocument/2006/relationships" name="AI应用回报" sheetId="6" r:id="Rca2e542a71564c1b"/>
    <x:sheet xmlns:r="http://schemas.openxmlformats.org/officeDocument/2006/relationships" name="资本回收" sheetId="7" r:id="R62bae63331ec4dac"/>
    <x:sheet xmlns:r="http://schemas.openxmlformats.org/officeDocument/2006/relationships" name="口径映射" sheetId="8" r:id="R10d7d03d66e34e95"/>
    <x:sheet xmlns:r="http://schemas.openxmlformats.org/officeDocument/2006/relationships" name="证据库" sheetId="9" r:id="R71bbddc3a1b94f6e"/>
    <x:sheet xmlns:r="http://schemas.openxmlformats.org/officeDocument/2006/relationships" name="检查" sheetId="10" r:id="R16791a9e69f64e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4">
    <x:numFmt numFmtId="200" formatCode="0.0%"/>
    <x:numFmt numFmtId="201" formatCode="0.0"/>
    <x:numFmt numFmtId="202" formatCode="0"/>
    <x:numFmt numFmtId="203" formatCode="#,##0.0"/>
    <x:numFmt numFmtId="204" formatCode=";;;"/>
    <x:numFmt numFmtId="205" formatCode="$0.00"/>
    <x:numFmt numFmtId="206" formatCode="0.00x"/>
    <x:numFmt numFmtId="207" formatCode="0.00"/>
    <x:numFmt numFmtId="208" formatCode="$0.000"/>
    <x:numFmt numFmtId="209" formatCode="0.000x"/>
    <x:numFmt numFmtId="210" formatCode="#,##0"/>
    <x:numFmt numFmtId="211" formatCode="0%"/>
    <x:numFmt numFmtId="212" formatCode="0.0x"/>
    <x:numFmt numFmtId="213" formatCode="#,##0&quot;亿美元&quot;"/>
  </x:numFmts>
  <x:fonts count="13">
    <x:font>
      <x:sz val="11"/>
      <x:name val="Carlito"/>
    </x:font>
    <x:font>
      <x:b/>
      <x:sz val="18"/>
      <x:color rgb="FFFFFFFF"/>
      <x:name val="Carlito"/>
    </x:font>
    <x:font>
      <x:i/>
      <x:sz val="10"/>
      <x:color rgb="FF595959"/>
      <x:name val="Carlito"/>
    </x:font>
    <x:font>
      <x:b/>
      <x:sz val="9"/>
      <x:color rgb="FFFFFFFF"/>
      <x:name val="Carlito"/>
    </x:font>
    <x:font>
      <x:sz val="9"/>
      <x:color rgb="FF1F1F1F"/>
      <x:name val="Carlito"/>
    </x:font>
    <x:font>
      <x:b/>
      <x:sz val="9"/>
      <x:color rgb="FF2F75B5"/>
      <x:name val="Carlito"/>
    </x:font>
    <x:font>
      <x:b/>
      <x:sz val="11"/>
      <x:color rgb="FFFFFFFF"/>
      <x:name val="Carlito"/>
    </x:font>
    <x:font>
      <x:b/>
      <x:sz val="9"/>
      <x:color rgb="FF17365D"/>
      <x:name val="Carlito"/>
    </x:font>
    <x:font>
      <x:sz val="1"/>
      <x:color rgb="FFFFFFFF"/>
      <x:name val="Carlito"/>
    </x:font>
    <x:font>
      <x:sz val="9"/>
      <x:color rgb="FF595959"/>
      <x:name val="Carlito"/>
    </x:font>
    <x:font>
      <x:b/>
      <x:sz val="9"/>
      <x:color rgb="FF1F1F1F"/>
      <x:name val="Carlito"/>
    </x:font>
    <x:font>
      <x:sz val="9"/>
      <x:color rgb="FF2F75B5"/>
      <x:name val="Carlito"/>
    </x:font>
    <x:font>
      <x:b/>
      <x:sz val="17"/>
      <x:color rgb="FF17365D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2F8"/>
      </x:patternFill>
    </x:fill>
    <x:fill>
      <x:patternFill patternType="solid">
        <x:fgColor rgb="FFFFF2CC"/>
      </x:patternFill>
    </x:fill>
    <x:fill>
      <x:patternFill patternType="solid">
        <x:fgColor rgb="FF2F75B5"/>
      </x:patternFill>
    </x:fill>
    <x:fill>
      <x:patternFill patternType="solid">
        <x:fgColor rgb="FFED7D31"/>
      </x:patternFill>
    </x:fill>
    <x:fill>
      <x:patternFill patternType="solid">
        <x:fgColor rgb="FFE2F0D9"/>
      </x:patternFill>
    </x:fill>
    <x:fill>
      <x:patternFill patternType="solid">
        <x:fgColor rgb="FFF2F2F2"/>
      </x:patternFill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2F75B5"/>
      </x:patternFill>
    </x:fill>
    <x:fill>
      <x:patternFill patternType="solid">
        <x:fgColor rgb="FFE2F0D9"/>
      </x:patternFill>
    </x:fill>
  </x:fills>
  <x:borders count="5">
    <x:border/>
    <x:border>
      <x:left style="thin">
        <x:color rgb="FFB4C6E7"/>
      </x:left>
      <x:right style="thin">
        <x:color rgb="FFB4C6E7"/>
      </x:right>
      <x:top style="thin">
        <x:color rgb="FFB4C6E7"/>
      </x:top>
      <x:bottom style="thin">
        <x:color rgb="FFB4C6E7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A9D18E"/>
      </x:left>
      <x:right style="thin">
        <x:color rgb="FFA9D18E"/>
      </x:right>
      <x:top style="thin">
        <x:color rgb="FFA9D18E"/>
      </x:top>
      <x:bottom style="thin">
        <x:color rgb="FFA9D18E"/>
      </x:bottom>
    </x:border>
    <x:border>
      <x:left style="thin">
        <x:color rgb="FFF4B183"/>
      </x:left>
      <x:right style="thin">
        <x:color rgb="FFF4B183"/>
      </x:right>
      <x:top style="thin">
        <x:color rgb="FFF4B183"/>
      </x:top>
      <x:bottom style="thin">
        <x:color rgb="FFF4B183"/>
      </x:bottom>
    </x:border>
  </x:borders>
  <x:cellStyleXfs count="1">
    <x:xf numFmtId="0" fontId="0" fillId="0" borderId="0"/>
  </x:cellStyleXfs>
  <x:cellXfs count="1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5" fillId="4" borderId="2" xfId="0" applyNumberFormat="1" applyFont="1" applyFill="1" applyBorder="1" applyAlignment="1">
      <x:alignment vertical="center" wrapText="1"/>
    </x:xf>
    <x:xf numFmtId="200" fontId="5" fillId="4" borderId="2" xfId="0" applyNumberFormat="1" applyFont="1" applyFill="1" applyBorder="1" applyAlignment="1">
      <x:alignment vertical="center" wrapText="1"/>
    </x:xf>
    <x:xf numFmtId="200" fontId="5" fillId="4" borderId="2" xfId="0" applyNumberFormat="1" applyFont="1" applyFill="1" applyBorder="1" applyAlignment="1">
      <x:alignment horizontal="center" vertical="center" wrapText="1"/>
    </x:xf>
    <x:xf numFmtId="201" fontId="5" fillId="4" borderId="2" xfId="0" applyNumberFormat="1" applyFont="1" applyFill="1" applyBorder="1" applyAlignment="1">
      <x:alignment vertical="center" wrapText="1"/>
    </x:xf>
    <x:xf numFmtId="201" fontId="5" fillId="4" borderId="2" xfId="0" applyNumberFormat="1" applyFont="1" applyFill="1" applyBorder="1" applyAlignment="1">
      <x:alignment horizontal="center" vertical="center" wrapText="1"/>
    </x:xf>
    <x:xf numFmtId="202" fontId="5" fillId="4" borderId="2" xfId="0" applyNumberFormat="1" applyFont="1" applyFill="1" applyBorder="1" applyAlignment="1">
      <x:alignment vertical="center" wrapText="1"/>
    </x:xf>
    <x:xf numFmtId="202" fontId="5" fillId="4" borderId="2" xfId="0" applyNumberFormat="1" applyFont="1" applyFill="1" applyBorder="1" applyAlignment="1">
      <x:alignment horizontal="center" vertical="center" wrapText="1"/>
    </x:xf>
    <x:xf numFmtId="203" fontId="5" fillId="4" borderId="2" xfId="0" applyNumberFormat="1" applyFont="1" applyFill="1" applyBorder="1" applyAlignment="1">
      <x:alignment vertical="center" wrapText="1"/>
    </x:xf>
    <x:xf numFmtId="203" fontId="5" fillId="4" borderId="2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horizontal="center"/>
    </x:xf>
    <x:xf numFmtId="0" fontId="6" fillId="6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6" fillId="6" borderId="2" xfId="0" applyNumberFormat="1" applyFont="1" applyFill="1" applyBorder="1" applyAlignment="1">
      <x:alignment horizontal="center" wrapText="1"/>
    </x:xf>
    <x:xf numFmtId="0" fontId="0" fillId="0" borderId="2" xfId="0" applyNumberFormat="1" applyFont="1" applyFill="1" applyBorder="1" applyAlignment="1">
      <x:alignment wrapText="1"/>
    </x:xf>
    <x:xf numFmtId="0" fontId="4" fillId="7" borderId="2" xfId="0" applyNumberFormat="1" applyFont="1" applyFill="1" applyBorder="1" applyAlignment="1">
      <x:alignment vertical="center" wrapText="1"/>
    </x:xf>
    <x:xf numFmtId="0" fontId="7" fillId="7" borderId="2" xfId="0" applyNumberFormat="1" applyFont="1" applyFill="1" applyBorder="1" applyAlignment="1">
      <x:alignment vertical="center" wrapText="1"/>
    </x:xf>
    <x:xf numFmtId="0" fontId="7" fillId="7" borderId="3" xfId="0" applyNumberFormat="1" applyFont="1" applyFill="1" applyBorder="1" applyAlignment="1">
      <x:alignment vertical="center" wrapText="1"/>
    </x:xf>
    <x:xf numFmtId="203" fontId="4" fillId="0" borderId="2" xfId="0" applyNumberFormat="1" applyFont="1" applyFill="1" applyBorder="1" applyAlignment="1">
      <x:alignment vertical="center" wrapText="1"/>
    </x:xf>
    <x:xf numFmtId="203" fontId="7" fillId="7" borderId="3" xfId="0" applyNumberFormat="1" applyFont="1" applyFill="1" applyBorder="1" applyAlignment="1">
      <x:alignment vertical="center" wrapText="1"/>
    </x:xf>
    <x:xf numFmtId="200" fontId="4" fillId="0" borderId="2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204" fontId="8" fillId="0" borderId="0" xfId="0" applyNumberFormat="1" applyFont="1" applyFill="1" applyBorder="1"/>
    <x:xf numFmtId="201" fontId="4" fillId="0" borderId="2" xfId="0" applyNumberFormat="1" applyFont="1" applyFill="1" applyBorder="1" applyAlignment="1">
      <x:alignment vertical="center" wrapText="1"/>
    </x:xf>
    <x:xf numFmtId="205" fontId="4" fillId="0" borderId="2" xfId="0" applyNumberFormat="1" applyFont="1" applyFill="1" applyBorder="1" applyAlignment="1">
      <x:alignment vertical="center" wrapText="1"/>
    </x:xf>
    <x:xf numFmtId="206" fontId="4" fillId="0" borderId="2" xfId="0" applyNumberFormat="1" applyFont="1" applyFill="1" applyBorder="1" applyAlignment="1">
      <x:alignment vertical="center" wrapText="1"/>
    </x:xf>
    <x:xf numFmtId="207" fontId="5" fillId="4" borderId="2" xfId="0" applyNumberFormat="1" applyFont="1" applyFill="1" applyBorder="1" applyAlignment="1">
      <x:alignment vertical="center" wrapText="1"/>
    </x:xf>
    <x:xf numFmtId="207" fontId="5" fillId="4" borderId="2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7" fillId="3" borderId="2" xfId="0" applyNumberFormat="1" applyFont="1" applyFill="1" applyBorder="1" applyAlignment="1">
      <x:alignment vertical="center" wrapText="1"/>
    </x:xf>
    <x:xf numFmtId="205" fontId="7" fillId="3" borderId="2" xfId="0" applyNumberFormat="1" applyFont="1" applyFill="1" applyBorder="1" applyAlignment="1">
      <x:alignment vertical="center" wrapText="1"/>
    </x:xf>
    <x:xf numFmtId="205" fontId="7" fillId="3" borderId="2" xfId="0" applyNumberFormat="1" applyFont="1" applyFill="1" applyBorder="1" applyAlignment="1">
      <x:alignment horizontal="center" vertical="center" wrapText="1"/>
    </x:xf>
    <x:xf numFmtId="0" fontId="9" fillId="3" borderId="2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wrapText="1"/>
    </x:xf>
    <x:xf numFmtId="0" fontId="9" fillId="3" borderId="0" xfId="0" applyNumberFormat="1" applyFont="1" applyFill="1" applyBorder="1" applyAlignment="1">
      <x:alignment vertical="center" wrapText="1"/>
    </x:xf>
    <x:xf numFmtId="208" fontId="5" fillId="4" borderId="2" xfId="0" applyNumberFormat="1" applyFont="1" applyFill="1" applyBorder="1" applyAlignment="1">
      <x:alignment vertical="center" wrapText="1"/>
    </x:xf>
    <x:xf numFmtId="208" fontId="5" fillId="4" borderId="2" xfId="0" applyNumberFormat="1" applyFont="1" applyFill="1" applyBorder="1" applyAlignment="1">
      <x:alignment horizontal="center" vertical="center" wrapText="1"/>
    </x:xf>
    <x:xf numFmtId="208" fontId="4" fillId="0" borderId="2" xfId="0" applyNumberFormat="1" applyFont="1" applyFill="1" applyBorder="1" applyAlignment="1">
      <x:alignment vertical="center" wrapText="1"/>
    </x:xf>
    <x:xf numFmtId="202" fontId="4" fillId="0" borderId="2" xfId="0" applyNumberFormat="1" applyFont="1" applyFill="1" applyBorder="1" applyAlignment="1">
      <x:alignment vertical="center" wrapText="1"/>
    </x:xf>
    <x:xf numFmtId="209" fontId="4" fillId="0" borderId="2" xfId="0" applyNumberFormat="1" applyFont="1" applyFill="1" applyBorder="1" applyAlignment="1">
      <x:alignment vertical="center" wrapText="1"/>
    </x:xf>
    <x:xf numFmtId="200" fontId="4" fillId="3" borderId="2" xfId="0" applyNumberFormat="1" applyFont="1" applyFill="1" applyBorder="1" applyAlignment="1">
      <x:alignment vertical="center" wrapText="1"/>
    </x:xf>
    <x:xf numFmtId="208" fontId="4" fillId="3" borderId="2" xfId="0" applyNumberFormat="1" applyFont="1" applyFill="1" applyBorder="1" applyAlignment="1">
      <x:alignment vertical="center" wrapText="1"/>
    </x:xf>
    <x:xf numFmtId="208" fontId="7" fillId="7" borderId="3" xfId="0" applyNumberFormat="1" applyFont="1" applyFill="1" applyBorder="1" applyAlignment="1">
      <x:alignment vertical="center" wrapText="1"/>
    </x:xf>
    <x:xf numFmtId="200" fontId="7" fillId="7" borderId="3" xfId="0" applyNumberFormat="1" applyFont="1" applyFill="1" applyBorder="1" applyAlignment="1">
      <x:alignment vertical="center" wrapText="1"/>
    </x:xf>
    <x:xf numFmtId="210" fontId="4" fillId="0" borderId="2" xfId="0" applyNumberFormat="1" applyFont="1" applyFill="1" applyBorder="1" applyAlignment="1">
      <x:alignment vertical="center" wrapText="1"/>
    </x:xf>
    <x:xf numFmtId="211" fontId="4" fillId="0" borderId="2" xfId="0" applyNumberFormat="1" applyFont="1" applyFill="1" applyBorder="1" applyAlignment="1">
      <x:alignment vertical="center" wrapText="1"/>
    </x:xf>
    <x:xf numFmtId="212" fontId="4" fillId="0" borderId="2" xfId="0" applyNumberFormat="1" applyFont="1" applyFill="1" applyBorder="1" applyAlignment="1">
      <x:alignment vertical="center" wrapText="1"/>
    </x:xf>
    <x:xf numFmtId="0" fontId="10" fillId="2" borderId="1" xfId="0" applyNumberFormat="1" applyFont="1" applyFill="1" applyBorder="1" applyAlignment="1">
      <x:alignment horizontal="center" vertical="center" wrapText="1"/>
    </x:xf>
    <x:xf numFmtId="0" fontId="10" fillId="2" borderId="2" xfId="0" applyNumberFormat="1" applyFont="1" applyFill="1" applyBorder="1" applyAlignment="1">
      <x:alignment horizontal="center" vertical="center" wrapText="1"/>
    </x:xf>
    <x:xf numFmtId="0" fontId="5" fillId="0" borderId="2" xfId="0" applyNumberFormat="1" applyFont="1" applyFill="1" applyBorder="1" applyAlignment="1">
      <x:alignment vertical="center" wrapText="1"/>
    </x:xf>
    <x:xf numFmtId="0" fontId="4" fillId="8" borderId="2" xfId="0" applyNumberFormat="1" applyFont="1" applyFill="1" applyBorder="1" applyAlignment="1">
      <x:alignment vertical="center" wrapText="1"/>
    </x:xf>
    <x:xf numFmtId="0" fontId="11" fillId="0" borderId="2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12" fillId="7" borderId="0" xfId="0" applyNumberFormat="1" applyFont="1" applyFill="1" applyBorder="1"/>
    <x:xf numFmtId="213" fontId="12" fillId="7" borderId="0" xfId="0" applyNumberFormat="1" applyFont="1" applyFill="1" applyBorder="1"/>
    <x:xf numFmtId="213" fontId="12" fillId="7" borderId="0" xfId="0" applyNumberFormat="1" applyFont="1" applyFill="1" applyBorder="1" applyAlignment="1">
      <x:alignment horizontal="center"/>
    </x:xf>
    <x:xf numFmtId="213" fontId="12" fillId="7" borderId="0" xfId="0" applyNumberFormat="1" applyFont="1" applyFill="1" applyBorder="1" applyAlignment="1">
      <x:alignment horizontal="center" vertical="center"/>
    </x:xf>
    <x:xf numFmtId="0" fontId="9" fillId="3" borderId="0" xfId="0" applyNumberFormat="1" applyFont="1" applyFill="1" applyBorder="1" applyAlignment="1">
      <x:alignment horizontal="center" wrapText="1"/>
    </x:xf>
    <x:xf numFmtId="0" fontId="0" fillId="0" borderId="2" xfId="0" applyNumberFormat="1" applyFont="1" applyFill="1" applyBorder="1"/>
    <x:xf numFmtId="200" fontId="0" fillId="0" borderId="2" xfId="0" applyNumberFormat="1" applyFont="1" applyFill="1" applyBorder="1"/>
    <x:xf numFmtId="203" fontId="0" fillId="0" borderId="2" xfId="0" applyNumberFormat="1" applyFont="1" applyFill="1" applyBorder="1"/>
    <x:xf numFmtId="206" fontId="0" fillId="0" borderId="2" xfId="0" applyNumberFormat="1" applyFont="1" applyFill="1" applyBorder="1"/>
    <x:xf numFmtId="0" fontId="6" fillId="6" borderId="4" xfId="0" applyNumberFormat="1" applyFont="1" applyFill="1" applyBorder="1" applyAlignment="1">
      <x:alignment horizontal="center"/>
    </x:xf>
    <x:xf numFmtId="0" fontId="0" fillId="0" borderId="4" xfId="0" applyNumberFormat="1" applyFont="1" applyFill="1" applyBorder="1"/>
    <x:xf numFmtId="0" fontId="6" fillId="6" borderId="4" xfId="0" applyNumberFormat="1" applyFont="1" applyFill="1" applyBorder="1" applyAlignment="1">
      <x:alignment horizontal="center" wrapText="1"/>
    </x:xf>
    <x:xf numFmtId="0" fontId="0" fillId="0" borderId="4" xfId="0" applyNumberFormat="1" applyFont="1" applyFill="1" applyBorder="1" applyAlignment="1">
      <x:alignment wrapText="1"/>
    </x:xf>
    <x:xf numFmtId="0" fontId="6" fillId="6" borderId="4" xfId="0" applyNumberFormat="1" applyFont="1" applyFill="1" applyBorder="1" applyAlignment="1">
      <x:alignment horizontal="center"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9" fillId="3" borderId="0" xfId="0" applyNumberFormat="1" applyFont="1" applyFill="1" applyBorder="1" applyAlignment="1">
      <x:alignment horizontal="center" vertical="center" wrapText="1"/>
    </x:xf>
    <x:xf numFmtId="204" fontId="8" fillId="0" borderId="0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 applyAlignment="1">
      <x:alignment vertical="center"/>
    </x:xf>
    <x:xf numFmtId="200" fontId="0" fillId="0" borderId="2" xfId="0" applyNumberFormat="1" applyFont="1" applyFill="1" applyBorder="1" applyAlignment="1">
      <x:alignment vertical="center"/>
    </x:xf>
    <x:xf numFmtId="203" fontId="0" fillId="0" borderId="2" xfId="0" applyNumberFormat="1" applyFont="1" applyFill="1" applyBorder="1" applyAlignment="1">
      <x:alignment vertical="center"/>
    </x:xf>
    <x:xf numFmtId="206" fontId="0" fillId="0" borderId="2" xfId="0" applyNumberFormat="1" applyFont="1" applyFill="1" applyBorder="1" applyAlignment="1">
      <x:alignment vertical="center"/>
    </x:xf>
    <x:xf numFmtId="0" fontId="6" fillId="6" borderId="2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 applyAlignment="1">
      <x:alignment vertical="center"/>
    </x:xf>
    <x:xf numFmtId="0" fontId="3" fillId="9" borderId="0" xfId="0" applyNumberFormat="1" applyFont="1" applyFill="1" applyBorder="1" applyAlignment="1">
      <x:alignment vertical="center"/>
    </x:xf>
    <x:xf numFmtId="0" fontId="3" fillId="9" borderId="1" xfId="0" applyNumberFormat="1" applyFont="1" applyFill="1" applyBorder="1" applyAlignment="1">
      <x:alignment vertical="center"/>
    </x:xf>
    <x:xf numFmtId="0" fontId="3" fillId="9" borderId="1" xfId="0" applyNumberFormat="1" applyFont="1" applyFill="1" applyBorder="1" applyAlignment="1">
      <x:alignment vertical="center" wrapText="1"/>
    </x:xf>
    <x:xf numFmtId="0" fontId="3" fillId="9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200" fontId="5" fillId="10" borderId="2" xfId="0" applyNumberFormat="1" applyFont="1" applyFill="1" applyBorder="1" applyAlignment="1">
      <x:alignment horizontal="center" vertical="center" wrapText="1"/>
    </x:xf>
    <x:xf numFmtId="0" fontId="0" fillId="11" borderId="0" xfId="0" applyNumberFormat="1" applyFont="1" applyFill="1" applyBorder="1"/>
    <x:xf numFmtId="0" fontId="6" fillId="11" borderId="0" xfId="0" applyNumberFormat="1" applyFont="1" applyFill="1" applyBorder="1"/>
    <x:xf numFmtId="0" fontId="6" fillId="11" borderId="0" xfId="0" applyNumberFormat="1" applyFont="1" applyFill="1" applyBorder="1" applyAlignment="1">
      <x:alignment wrapText="1"/>
    </x:xf>
    <x:xf numFmtId="0" fontId="6" fillId="11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3" fillId="9" borderId="0" xfId="0" applyNumberFormat="1" applyFont="1" applyFill="1" applyBorder="1"/>
    <x:xf numFmtId="0" fontId="3" fillId="9" borderId="1" xfId="0" applyNumberFormat="1" applyFont="1" applyFill="1" applyBorder="1"/>
    <x:xf numFmtId="0" fontId="3" fillId="9" borderId="1" xfId="0" applyNumberFormat="1" applyFont="1" applyFill="1" applyBorder="1" applyAlignment="1">
      <x:alignment wrapText="1"/>
    </x:xf>
    <x:xf numFmtId="0" fontId="3" fillId="9" borderId="1" xfId="0" applyNumberFormat="1" applyFont="1" applyFill="1" applyBorder="1" applyAlignment="1">
      <x:alignment horizontal="center" wrapText="1"/>
    </x:xf>
    <x:xf numFmtId="0" fontId="4" fillId="12" borderId="2" xfId="0" applyNumberFormat="1" applyFont="1" applyFill="1" applyBorder="1" applyAlignment="1">
      <x:alignment vertical="center" wrapText="1"/>
    </x:xf>
    <x:xf numFmtId="203" fontId="4" fillId="12" borderId="2" xfId="0" applyNumberFormat="1" applyFont="1" applyFill="1" applyBorder="1" applyAlignment="1">
      <x:alignment vertical="center" wrapText="1"/>
    </x:xf>
    <x:xf numFmtId="0" fontId="7" fillId="12" borderId="2" xfId="0" applyNumberFormat="1" applyFont="1" applyFill="1" applyBorder="1" applyAlignment="1">
      <x:alignment vertical="center" wrapText="1"/>
    </x:xf>
    <x:xf numFmtId="203" fontId="7" fillId="12" borderId="2" xfId="0" applyNumberFormat="1" applyFont="1" applyFill="1" applyBorder="1" applyAlignment="1">
      <x:alignment vertical="center" wrapText="1"/>
    </x:xf>
    <x:xf numFmtId="0" fontId="7" fillId="12" borderId="3" xfId="0" applyNumberFormat="1" applyFont="1" applyFill="1" applyBorder="1" applyAlignment="1">
      <x:alignment vertical="center" wrapText="1"/>
    </x:xf>
    <x:xf numFmtId="203" fontId="7" fillId="12" borderId="3" xfId="0" applyNumberFormat="1" applyFont="1" applyFill="1" applyBorder="1" applyAlignment="1">
      <x:alignment vertical="center" wrapText="1"/>
    </x:xf>
    <x:xf numFmtId="200" fontId="5" fillId="12" borderId="2" xfId="0" applyNumberFormat="1" applyFont="1" applyFill="1" applyBorder="1" applyAlignment="1">
      <x:alignment horizontal="center" vertical="center" wrapText="1"/>
    </x:xf>
    <x:xf numFmtId="200" fontId="7" fillId="12" borderId="2" xfId="0" applyNumberFormat="1" applyFont="1" applyFill="1" applyBorder="1" applyAlignment="1">
      <x:alignment horizontal="center" vertical="center" wrapText="1"/>
    </x:xf>
    <x:xf numFmtId="200" fontId="4" fillId="12" borderId="2" xfId="0" applyNumberFormat="1" applyFont="1" applyFill="1" applyBorder="1" applyAlignment="1">
      <x:alignment vertical="center" wrapText="1"/>
    </x:xf>
    <x:xf numFmtId="200" fontId="7" fillId="12" borderId="2" xfId="0" applyNumberFormat="1" applyFont="1" applyFill="1" applyBorder="1" applyAlignment="1">
      <x:alignment vertical="center" wrapText="1"/>
    </x:xf>
    <x:xf numFmtId="200" fontId="7" fillId="12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7030A0"/>
      </x:font>
      <x:fill>
        <x:patternFill>
          <x:bgColor rgb="FFEEE9FC"/>
        </x:patternFill>
      </x:fill>
    </x:dxf>
    <x:dxf>
      <x:font>
        <x:b/>
        <x:color rgb="FF087F5B"/>
      </x:font>
      <x:fill>
        <x:patternFill>
          <x:bgColor rgb="FFE2F0D9"/>
        </x:patternFill>
      </x:fill>
    </x:dxf>
    <x:dxf>
      <x:font>
        <x:b/>
        <x:color rgb="FF006100"/>
      </x:font>
      <x:fill>
        <x:patternFill>
          <x:bgColor rgb="FFE2F0D9"/>
        </x:patternFill>
      </x:fill>
    </x:dxf>
    <x:dxf>
      <x:font>
        <x:b/>
        <x:color rgb="FFC00000"/>
      </x:font>
      <x:fill>
        <x:patternFill>
          <x:bgColor rgb="FFF4CCCC"/>
        </x:patternFill>
      </x:fill>
    </x:dxf>
    <x:dxf>
      <x:font>
        <x:b/>
        <x:color rgb="FF006100"/>
      </x:font>
      <x:fill>
        <x:patternFill patternType="solid">
          <x:bgColor rgb="FFE2F0D9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5154292764828" /><Relationship Type="http://schemas.openxmlformats.org/officeDocument/2006/relationships/theme" Target="/xl/theme/theme1.xml" Id="R1a4598da690841a4" /><Relationship Type="http://schemas.openxmlformats.org/officeDocument/2006/relationships/sharedStrings" Target="/xl/sharedStrings.xml" Id="R1767456a392d4466" /><Relationship Type="http://schemas.openxmlformats.org/officeDocument/2006/relationships/worksheet" Target="/xl/worksheets/sheet1.xml" Id="R136bb6954faa4550" /><Relationship Type="http://schemas.openxmlformats.org/officeDocument/2006/relationships/worksheet" Target="/xl/worksheets/sheet2.xml" Id="R0872c37f612b4d0e" /><Relationship Type="http://schemas.openxmlformats.org/officeDocument/2006/relationships/worksheet" Target="/xl/worksheets/sheet3.xml" Id="R1881e0cad74b4407" /><Relationship Type="http://schemas.openxmlformats.org/officeDocument/2006/relationships/worksheet" Target="/xl/worksheets/sheet4.xml" Id="Ra7e9f1e25fbc4631" /><Relationship Type="http://schemas.openxmlformats.org/officeDocument/2006/relationships/worksheet" Target="/xl/worksheets/sheet5.xml" Id="R56c8dce1ed2748eb" /><Relationship Type="http://schemas.openxmlformats.org/officeDocument/2006/relationships/worksheet" Target="/xl/worksheets/sheet6.xml" Id="Rca2e542a71564c1b" /><Relationship Type="http://schemas.openxmlformats.org/officeDocument/2006/relationships/worksheet" Target="/xl/worksheets/sheet7.xml" Id="R62bae63331ec4dac" /><Relationship Type="http://schemas.openxmlformats.org/officeDocument/2006/relationships/worksheet" Target="/xl/worksheets/sheet8.xml" Id="R10d7d03d66e34e95" /><Relationship Type="http://schemas.openxmlformats.org/officeDocument/2006/relationships/worksheet" Target="/xl/worksheets/sheet9.xml" Id="R71bbddc3a1b94f6e" /><Relationship Type="http://schemas.openxmlformats.org/officeDocument/2006/relationships/worksheet" Target="/xl/worksheets/sheet10.xml" Id="R16791a9e69f64eb4" /><Relationship Type="http://schemas.microsoft.com/office/2017/10/relationships/person" Target="/xl/persons/person.xml" Id="R3a58d2cbed5a4c7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91fb9457a744198" /><Relationship Type="http://schemas.openxmlformats.org/officeDocument/2006/relationships/chart" Target="/xl/drawings/charts/chart2.xml" Id="Rac71abdade594b9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0317b81aca504042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e0e4fff0d6a8482b" /><Relationship Type="http://schemas.openxmlformats.org/officeDocument/2006/relationships/chart" Target="/xl/drawings/charts/chart5.xml" Id="R0866eb66748b4c8f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6.xml" Id="Rccc9b8fa4c264f8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/xl/drawings/charts/chart7.xml" Id="Rbd94b70fce9f4ca2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chart" Target="/xl/drawings/charts/chart8.xml" Id="Rf47ba1c8de29482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AI投资、应用回报与经济折旧（亿美元）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净AI投资</c:v>
          </c:tx>
          <c:marker>
            <c:symbol val="none"/>
          </c:marker>
          <c:cat>
            <c:strRef>
              <c:f>'总览'!$A$14:$A$20</c:f>
              <c:strCache>
                <c:ptCount val="0"/>
              </c:strCache>
            </c:strRef>
          </c:cat>
          <c:val>
            <c:numRef>
              <c:f>'总览'!$B$14:$B$20</c:f>
              <c:numCache>
                <c:formatCode>#,##0.0</c:formatCode>
                <c:ptCount val="0"/>
              </c:numCache>
            </c:numRef>
          </c:val>
          <c:smooth val="0"/>
        </c:ser>
        <c:ser>
          <c:idx val="1"/>
          <c:order val="1"/>
          <c:tx>
            <c:v>AI应用终端收入</c:v>
          </c:tx>
          <c:marker>
            <c:symbol val="none"/>
          </c:marker>
          <c:cat>
            <c:strRef>
              <c:f>'总览'!$A$14:$A$20</c:f>
              <c:strCache>
                <c:ptCount val="0"/>
              </c:strCache>
            </c:strRef>
          </c:cat>
          <c:val>
            <c:numRef>
              <c:f>'总览'!$C$14:$C$20</c:f>
              <c:numCache>
                <c:formatCode>#,##0.0</c:formatCode>
                <c:ptCount val="0"/>
              </c:numCache>
            </c:numRef>
          </c:val>
          <c:smooth val="0"/>
        </c:ser>
        <c:ser>
          <c:idx val="2"/>
          <c:order val="2"/>
          <c:tx>
            <c:v>AI应用毛利</c:v>
          </c:tx>
          <c:marker>
            <c:symbol val="none"/>
          </c:marker>
          <c:cat>
            <c:strRef>
              <c:f>'总览'!$A$14:$A$20</c:f>
              <c:strCache>
                <c:ptCount val="0"/>
              </c:strCache>
            </c:strRef>
          </c:cat>
          <c:val>
            <c:numRef>
              <c:f>'总览'!$D$14:$D$20</c:f>
              <c:numCache>
                <c:formatCode>#,##0.0</c:formatCode>
                <c:ptCount val="0"/>
              </c:numCache>
            </c:numRef>
          </c:val>
          <c:smooth val="0"/>
        </c:ser>
        <c:ser>
          <c:idx val="3"/>
          <c:order val="3"/>
          <c:tx>
            <c:v>AI资产经济折旧</c:v>
          </c:tx>
          <c:marker>
            <c:symbol val="none"/>
          </c:marker>
          <c:cat>
            <c:strRef>
              <c:f>'总览'!$A$14:$A$20</c:f>
              <c:strCache>
                <c:ptCount val="0"/>
              </c:strCache>
            </c:strRef>
          </c:cat>
          <c:val>
            <c:numRef>
              <c:f>'总览'!$E$14:$E$20</c:f>
              <c:numCache>
                <c:formatCode>#,##0.0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收入覆盖率与资本回收代理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收入覆盖率</c:v>
          </c:tx>
          <c:marker>
            <c:symbol val="none"/>
          </c:marker>
          <c:cat>
            <c:strRef>
              <c:f>'总览'!$P$14:$P$20</c:f>
              <c:strCache>
                <c:ptCount val="0"/>
              </c:strCache>
            </c:strRef>
          </c:cat>
          <c:val>
            <c:numRef>
              <c:f>'总览'!$Q$14:$Q$20</c:f>
              <c:numCache>
                <c:formatCode>;;;</c:formatCode>
                <c:ptCount val="0"/>
              </c:numCache>
            </c:numRef>
          </c:val>
          <c:smooth val="0"/>
        </c:ser>
        <c:ser>
          <c:idx val="1"/>
          <c:order val="1"/>
          <c:tx>
            <c:v>应用毛利/经济折旧</c:v>
          </c:tx>
          <c:marker>
            <c:symbol val="none"/>
          </c:marker>
          <c:cat>
            <c:strRef>
              <c:f>'总览'!$P$14:$P$20</c:f>
              <c:strCache>
                <c:ptCount val="0"/>
              </c:strCache>
            </c:strRef>
          </c:cat>
          <c:val>
            <c:numRef>
              <c:f>'总览'!$R$14:$R$20</c:f>
              <c:numCache>
                <c:formatCode>;;;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x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全球净AI基建投资结构（亿美元）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北美大厂（含SpaceX/xAI）</c:v>
          </c:tx>
          <c:marker>
            <c:symbol val="none"/>
          </c:marker>
          <c:cat>
            <c:strRef>
              <c:f>'AI基建投资'!$M$5:$M$13</c:f>
              <c:strCache>
                <c:ptCount val="0"/>
              </c:strCache>
            </c:strRef>
          </c:cat>
          <c:val>
            <c:numRef>
              <c:f>'AI基建投资'!$N$5:$N$13</c:f>
              <c:numCache>
                <c:formatCode>;;;</c:formatCode>
                <c:ptCount val="0"/>
              </c:numCache>
            </c:numRef>
          </c:val>
          <c:smooth val="0"/>
        </c:ser>
        <c:ser>
          <c:idx val="1"/>
          <c:order val="1"/>
          <c:tx>
            <c:v>中国大厂/云/电信</c:v>
          </c:tx>
          <c:marker>
            <c:symbol val="none"/>
          </c:marker>
          <c:cat>
            <c:strRef>
              <c:f>'AI基建投资'!$M$5:$M$13</c:f>
              <c:strCache>
                <c:ptCount val="0"/>
              </c:strCache>
            </c:strRef>
          </c:cat>
          <c:val>
            <c:numRef>
              <c:f>'AI基建投资'!$O$5:$O$13</c:f>
              <c:numCache>
                <c:formatCode>;;;</c:formatCode>
                <c:ptCount val="0"/>
              </c:numCache>
            </c:numRef>
          </c:val>
          <c:smooth val="0"/>
        </c:ser>
        <c:ser>
          <c:idx val="2"/>
          <c:order val="2"/>
          <c:tx>
            <c:v>Neocloud</c:v>
          </c:tx>
          <c:marker>
            <c:symbol val="none"/>
          </c:marker>
          <c:cat>
            <c:strRef>
              <c:f>'AI基建投资'!$M$5:$M$13</c:f>
              <c:strCache>
                <c:ptCount val="0"/>
              </c:strCache>
            </c:strRef>
          </c:cat>
          <c:val>
            <c:numRef>
              <c:f>'AI基建投资'!$P$5:$P$13</c:f>
              <c:numCache>
                <c:formatCode>;;;</c:formatCode>
                <c:ptCount val="0"/>
              </c:numCache>
            </c:numRef>
          </c:val>
          <c:smooth val="0"/>
        </c:ser>
        <c:ser>
          <c:idx val="3"/>
          <c:order val="3"/>
          <c:tx>
            <c:v>主权AI/项目</c:v>
          </c:tx>
          <c:marker>
            <c:symbol val="none"/>
          </c:marker>
          <c:cat>
            <c:strRef>
              <c:f>'AI基建投资'!$M$5:$M$13</c:f>
              <c:strCache>
                <c:ptCount val="0"/>
              </c:strCache>
            </c:strRef>
          </c:cat>
          <c:val>
            <c:numRef>
              <c:f>'AI基建投资'!$Q$5:$Q$13</c:f>
              <c:numCache>
                <c:formatCode>;;;</c:formatCode>
                <c:ptCount val="0"/>
              </c:numCache>
            </c:numRef>
          </c:val>
          <c:smooth val="0"/>
        </c:ser>
        <c:ser>
          <c:idx val="4"/>
          <c:order val="4"/>
          <c:tx>
            <c:v>其他IDC/企业</c:v>
          </c:tx>
          <c:marker>
            <c:symbol val="none"/>
          </c:marker>
          <c:cat>
            <c:strRef>
              <c:f>'AI基建投资'!$M$5:$M$13</c:f>
              <c:strCache>
                <c:ptCount val="0"/>
              </c:strCache>
            </c:strRef>
          </c:cat>
          <c:val>
            <c:numRef>
              <c:f>'AI基建投资'!$R$5:$R$13</c:f>
              <c:numCache>
                <c:formatCode>;;;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算力等价有效Token（千万亿Token/月）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对话AI</c:v>
          </c:tx>
          <c:marker>
            <c:symbol val="none"/>
          </c:marker>
          <c:cat>
            <c:strRef>
              <c:f>'Token量价利'!$O$5:$O$9</c:f>
              <c:strCache>
                <c:ptCount val="0"/>
              </c:strCache>
            </c:strRef>
          </c:cat>
          <c:val>
            <c:numRef>
              <c:f>'Token量价利'!$P$5:$P$9</c:f>
              <c:numCache>
                <c:formatCode>;;;</c:formatCode>
                <c:ptCount val="0"/>
              </c:numCache>
            </c:numRef>
          </c:val>
          <c:smooth val="0"/>
        </c:ser>
        <c:ser>
          <c:idx val="1"/>
          <c:order val="1"/>
          <c:tx>
            <c:v>知识工作智能体</c:v>
          </c:tx>
          <c:marker>
            <c:symbol val="none"/>
          </c:marker>
          <c:cat>
            <c:strRef>
              <c:f>'Token量价利'!$O$5:$O$9</c:f>
              <c:strCache>
                <c:ptCount val="0"/>
              </c:strCache>
            </c:strRef>
          </c:cat>
          <c:val>
            <c:numRef>
              <c:f>'Token量价利'!$Q$5:$Q$9</c:f>
              <c:numCache>
                <c:formatCode>;;;</c:formatCode>
                <c:ptCount val="0"/>
              </c:numCache>
            </c:numRef>
          </c:val>
          <c:smooth val="0"/>
        </c:ser>
        <c:ser>
          <c:idx val="2"/>
          <c:order val="2"/>
          <c:tx>
            <c:v>生活场景智能体</c:v>
          </c:tx>
          <c:marker>
            <c:symbol val="none"/>
          </c:marker>
          <c:cat>
            <c:strRef>
              <c:f>'Token量价利'!$O$5:$O$9</c:f>
              <c:strCache>
                <c:ptCount val="0"/>
              </c:strCache>
            </c:strRef>
          </c:cat>
          <c:val>
            <c:numRef>
              <c:f>'Token量价利'!$R$5:$R$9</c:f>
              <c:numCache>
                <c:formatCode>;;;</c:formatCode>
                <c:ptCount val="0"/>
              </c:numCache>
            </c:numRef>
          </c:val>
          <c:smooth val="0"/>
        </c:ser>
        <c:ser>
          <c:idx val="3"/>
          <c:order val="3"/>
          <c:tx>
            <c:v>多模态AI</c:v>
          </c:tx>
          <c:marker>
            <c:symbol val="none"/>
          </c:marker>
          <c:cat>
            <c:strRef>
              <c:f>'Token量价利'!$O$5:$O$9</c:f>
              <c:strCache>
                <c:ptCount val="0"/>
              </c:strCache>
            </c:strRef>
          </c:cat>
          <c:val>
            <c:numRef>
              <c:f>'Token量价利'!$S$5:$S$9</c:f>
              <c:numCache>
                <c:formatCode>;;;</c:formatCode>
                <c:ptCount val="0"/>
              </c:numCache>
            </c:numRef>
          </c:val>
          <c:smooth val="0"/>
        </c:ser>
        <c:ser>
          <c:idx val="4"/>
          <c:order val="4"/>
          <c:tx>
            <c:v>有效Token合计</c:v>
          </c:tx>
          <c:marker>
            <c:symbol val="none"/>
          </c:marker>
          <c:cat>
            <c:strRef>
              <c:f>'Token量价利'!$O$5:$O$9</c:f>
              <c:strCache>
                <c:ptCount val="0"/>
              </c:strCache>
            </c:strRef>
          </c:cat>
          <c:val>
            <c:numRef>
              <c:f>'Token量价利'!$T$5:$T$9</c:f>
              <c:numCache>
                <c:formatCode>;;;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5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Token运营收入与算力成本后贡献毛利（亿美元）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Token运营收入</c:v>
          </c:tx>
          <c:marker>
            <c:symbol val="none"/>
          </c:marker>
          <c:cat>
            <c:strRef>
              <c:f>'Token量价利'!$O$13:$O$17</c:f>
              <c:strCache>
                <c:ptCount val="0"/>
              </c:strCache>
            </c:strRef>
          </c:cat>
          <c:val>
            <c:numRef>
              <c:f>'Token量价利'!$P$13:$P$17</c:f>
              <c:numCache>
                <c:formatCode>;;;</c:formatCode>
                <c:ptCount val="0"/>
              </c:numCache>
            </c:numRef>
          </c:val>
          <c:smooth val="0"/>
        </c:ser>
        <c:ser>
          <c:idx val="1"/>
          <c:order val="1"/>
          <c:tx>
            <c:v>Token算力成本后贡献毛利</c:v>
          </c:tx>
          <c:marker>
            <c:symbol val="none"/>
          </c:marker>
          <c:cat>
            <c:strRef>
              <c:f>'Token量价利'!$O$13:$O$17</c:f>
              <c:strCache>
                <c:ptCount val="0"/>
              </c:strCache>
            </c:strRef>
          </c:cat>
          <c:val>
            <c:numRef>
              <c:f>'Token量价利'!$Q$13:$Q$17</c:f>
              <c:numCache>
                <c:formatCode>;;;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6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生产级工作流渗透率（%）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生产级工作流渗透率（%）</c:v>
          </c:tx>
          <c:marker>
            <c:symbol val="none"/>
          </c:marker>
          <c:cat>
            <c:strRef>
              <c:f>'工作流ROI'!$U$5:$U$9</c:f>
              <c:strCache>
                <c:ptCount val="0"/>
              </c:strCache>
            </c:strRef>
          </c:cat>
          <c:val>
            <c:numRef>
              <c:f>'工作流ROI'!$V$5:$V$9</c:f>
              <c:numCache>
                <c:formatCode>;;;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7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AI应用生态收入、终端收入与毛利（亿美元）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生态系统总收入</c:v>
          </c:tx>
          <c:marker>
            <c:symbol val="none"/>
          </c:marker>
          <c:cat>
            <c:strRef>
              <c:f>'AI应用回报'!$N$5:$N$13</c:f>
              <c:strCache>
                <c:ptCount val="0"/>
              </c:strCache>
            </c:strRef>
          </c:cat>
          <c:val>
            <c:numRef>
              <c:f>'AI应用回报'!$O$5:$O$13</c:f>
              <c:numCache>
                <c:formatCode>;;;</c:formatCode>
                <c:ptCount val="0"/>
              </c:numCache>
            </c:numRef>
          </c:val>
          <c:smooth val="0"/>
        </c:ser>
        <c:ser>
          <c:idx val="1"/>
          <c:order val="1"/>
          <c:tx>
            <c:v>AI应用终端收入</c:v>
          </c:tx>
          <c:marker>
            <c:symbol val="none"/>
          </c:marker>
          <c:cat>
            <c:strRef>
              <c:f>'AI应用回报'!$N$5:$N$13</c:f>
              <c:strCache>
                <c:ptCount val="0"/>
              </c:strCache>
            </c:strRef>
          </c:cat>
          <c:val>
            <c:numRef>
              <c:f>'AI应用回报'!$P$5:$P$13</c:f>
              <c:numCache>
                <c:formatCode>;;;</c:formatCode>
                <c:ptCount val="0"/>
              </c:numCache>
            </c:numRef>
          </c:val>
          <c:smooth val="0"/>
        </c:ser>
        <c:ser>
          <c:idx val="2"/>
          <c:order val="2"/>
          <c:tx>
            <c:v>AI应用毛利</c:v>
          </c:tx>
          <c:marker>
            <c:symbol val="none"/>
          </c:marker>
          <c:cat>
            <c:strRef>
              <c:f>'AI应用回报'!$N$5:$N$13</c:f>
              <c:strCache>
                <c:ptCount val="0"/>
              </c:strCache>
            </c:strRef>
          </c:cat>
          <c:val>
            <c:numRef>
              <c:f>'AI应用回报'!$Q$5:$Q$13</c:f>
              <c:numCache>
                <c:formatCode>;;;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8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净投资、应用收入、毛利与经济折旧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净AI基建投资</c:v>
          </c:tx>
          <c:marker>
            <c:symbol val="none"/>
          </c:marker>
          <c:cat>
            <c:strRef>
              <c:f>'资本回收'!$L$5:$L$13</c:f>
              <c:strCache>
                <c:ptCount val="0"/>
              </c:strCache>
            </c:strRef>
          </c:cat>
          <c:val>
            <c:numRef>
              <c:f>'资本回收'!$M$5:$M$13</c:f>
              <c:numCache>
                <c:formatCode>;;;</c:formatCode>
                <c:ptCount val="0"/>
              </c:numCache>
            </c:numRef>
          </c:val>
          <c:smooth val="0"/>
        </c:ser>
        <c:ser>
          <c:idx val="1"/>
          <c:order val="1"/>
          <c:tx>
            <c:v>AI应用终端收入</c:v>
          </c:tx>
          <c:marker>
            <c:symbol val="none"/>
          </c:marker>
          <c:cat>
            <c:strRef>
              <c:f>'资本回收'!$L$5:$L$13</c:f>
              <c:strCache>
                <c:ptCount val="0"/>
              </c:strCache>
            </c:strRef>
          </c:cat>
          <c:val>
            <c:numRef>
              <c:f>'资本回收'!$N$5:$N$13</c:f>
              <c:numCache>
                <c:formatCode>;;;</c:formatCode>
                <c:ptCount val="0"/>
              </c:numCache>
            </c:numRef>
          </c:val>
          <c:smooth val="0"/>
        </c:ser>
        <c:ser>
          <c:idx val="2"/>
          <c:order val="2"/>
          <c:tx>
            <c:v>AI应用毛利</c:v>
          </c:tx>
          <c:marker>
            <c:symbol val="none"/>
          </c:marker>
          <c:cat>
            <c:strRef>
              <c:f>'资本回收'!$L$5:$L$13</c:f>
              <c:strCache>
                <c:ptCount val="0"/>
              </c:strCache>
            </c:strRef>
          </c:cat>
          <c:val>
            <c:numRef>
              <c:f>'资本回收'!$O$5:$O$13</c:f>
              <c:numCache>
                <c:formatCode>;;;</c:formatCode>
                <c:ptCount val="0"/>
              </c:numCache>
            </c:numRef>
          </c:val>
          <c:smooth val="0"/>
        </c:ser>
        <c:ser>
          <c:idx val="3"/>
          <c:order val="3"/>
          <c:tx>
            <c:v>AI资产经济折旧</c:v>
          </c:tx>
          <c:marker>
            <c:symbol val="none"/>
          </c:marker>
          <c:cat>
            <c:strRef>
              <c:f>'资本回收'!$L$5:$L$13</c:f>
              <c:strCache>
                <c:ptCount val="0"/>
              </c:strCache>
            </c:strRef>
          </c:cat>
          <c:val>
            <c:numRef>
              <c:f>'资本回收'!$P$5:$P$13</c:f>
              <c:numCache>
                <c:formatCode>;;;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22</xdr:row>
      <xdr:rowOff>0</xdr:rowOff>
    </xdr:from>
    <xdr:to>
      <xdr:col>8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91fb9457a744198"/>
        </a:graphicData>
      </a:graphic>
    </xdr:graphicFrame>
    <xdr:clientData/>
  </xdr:twoCellAnchor>
  <xdr:twoCellAnchor>
    <xdr:from>
      <xdr:col>8</xdr:col>
      <xdr:colOff>0</xdr:colOff>
      <xdr:row>22</xdr:row>
      <xdr:rowOff>0</xdr:rowOff>
    </xdr:from>
    <xdr:to>
      <xdr:col>14</xdr:col>
      <xdr:colOff>0</xdr:colOff>
      <xdr:row>39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c71abdade594b9c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23</xdr:row>
      <xdr:rowOff>0</xdr:rowOff>
    </xdr:from>
    <xdr:to>
      <xdr:col>11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317b81aca50404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7</xdr:col>
      <xdr:colOff>0</xdr:colOff>
      <xdr:row>3</xdr:row>
      <xdr:rowOff>0</xdr:rowOff>
    </xdr:from>
    <xdr:to>
      <xdr:col>14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0e4fff0d6a8482b"/>
        </a:graphicData>
      </a:graphic>
    </xdr:graphicFrame>
    <xdr:clientData/>
  </xdr:twoCellAnchor>
  <xdr:twoCellAnchor>
    <xdr:from>
      <xdr:col>7</xdr:col>
      <xdr:colOff>0</xdr:colOff>
      <xdr:row>19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866eb66748b4c8f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13</xdr:col>
      <xdr:colOff>0</xdr:colOff>
      <xdr:row>3</xdr:row>
      <xdr:rowOff>0</xdr:rowOff>
    </xdr:from>
    <xdr:to>
      <xdr:col>20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cc9b8fa4c264f8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>
  <xdr:twoCellAnchor>
    <xdr:from>
      <xdr:col>0</xdr:col>
      <xdr:colOff>0</xdr:colOff>
      <xdr:row>34</xdr:row>
      <xdr:rowOff>0</xdr:rowOff>
    </xdr:from>
    <xdr:to>
      <xdr:col>12</xdr:col>
      <xdr:colOff>0</xdr:colOff>
      <xdr:row>51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d94b70fce9f4ca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>
  <xdr:twoCellAnchor>
    <xdr:from>
      <xdr:col>0</xdr:col>
      <xdr:colOff>0</xdr:colOff>
      <xdr:row>24</xdr:row>
      <xdr:rowOff>0</xdr:rowOff>
    </xdr:from>
    <xdr:to>
      <xdr:col>10</xdr:col>
      <xdr:colOff>0</xdr:colOff>
      <xdr:row>41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47ba1c8de29482d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华鑫AI研究" id="{0B1ABF75-54AB-4FE1-8497-F911D4A8EB79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fad6e84a04344e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2eb0acb09ca249a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d3d1110f28314d9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4.xml" Id="Ra757ad98ac2148e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5.xml" Id="Rf525eccd264b4fe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6.xml" Id="R63d2beb6947b4e1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6" max="16" width="0.5" hidden="0" customWidth="1"/>
    <x:col min="17" max="17" width="0.5" hidden="0" customWidth="1"/>
    <x:col min="18" max="18" width="0.5" hidden="0" customWidth="1"/>
    <x:col min="1" max="1" width="12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44" hidden="0" customWidth="1"/>
    <x:col min="10" max="10" width="26" hidden="0" customWidth="1"/>
    <x:col min="11" max="11" width="18" hidden="0" customWidth="1"/>
    <x:col min="12" max="12" width="28" hidden="0" customWidth="1"/>
    <x:col min="13" max="13" width="14" hidden="0" customWidth="1"/>
    <x:col min="14" max="14" width="14" hidden="0" customWidth="1"/>
    <x:col min="19" max="19" width="0.5" hidden="0" customWidth="1"/>
    <x:col min="20" max="20" width="0.5" hidden="0" customWidth="1"/>
  </x:cols>
  <x:sheetData>
    <x:row r="1" ht="21.600000381469727" hidden="0" customHeight="1">
      <x:c r="A1" s="3" t="str">
        <x:v>华鑫AI：全球AI产业总量研究｜投资—回报—资本回收</x:v>
      </x:c>
      <x:c r="B1" s="3" t="str">
        <x:v>华鑫AI：全球AI产业总量研究｜投资—回报—资本回收</x:v>
      </x:c>
      <x:c r="C1" s="3" t="str">
        <x:v>华鑫AI：全球AI产业总量研究｜投资—回报—资本回收</x:v>
      </x:c>
      <x:c r="D1" s="3" t="str">
        <x:v>华鑫AI：全球AI产业总量研究｜投资—回报—资本回收</x:v>
      </x:c>
      <x:c r="E1" s="3" t="str">
        <x:v>华鑫AI：全球AI产业总量研究｜投资—回报—资本回收</x:v>
      </x:c>
      <x:c r="F1" s="3" t="str">
        <x:v>华鑫AI：全球AI产业总量研究｜投资—回报—资本回收</x:v>
      </x:c>
      <x:c r="G1" s="3" t="str">
        <x:v>华鑫AI：全球AI产业总量研究｜投资—回报—资本回收</x:v>
      </x:c>
      <x:c r="H1" s="3" t="str">
        <x:v>华鑫AI：全球AI产业总量研究｜投资—回报—资本回收</x:v>
      </x:c>
      <x:c r="I1" s="3" t="str">
        <x:v>华鑫AI：全球AI产业总量研究｜投资—回报—资本回收</x:v>
      </x:c>
      <x:c r="J1" s="3" t="str">
        <x:v>华鑫AI：全球AI产业总量研究｜投资—回报—资本回收</x:v>
      </x:c>
      <x:c r="K1" s="3" t="str">
        <x:v>华鑫AI：全球AI产业总量研究｜投资—回报—资本回收</x:v>
      </x:c>
      <x:c r="L1" s="3" t="str">
        <x:v>华鑫AI：全球AI产业总量研究｜投资—回报—资本回收</x:v>
      </x:c>
      <x:c r="M1" s="3" t="str">
        <x:v>华鑫AI：全球AI产业总量研究｜投资—回报—资本回收</x:v>
      </x:c>
      <x:c r="N1" s="3" t="str">
        <x:v>华鑫AI：全球AI产业总量研究｜投资—回报—资本回收</x:v>
      </x:c>
      <x:c r="O1" s="92"/>
      <x:c r="P1" s="92"/>
      <x:c r="Q1" s="92"/>
      <x:c r="R1" s="92"/>
    </x:row>
    <x:row r="2" ht="15" hidden="0" customHeight="1">
      <x:c r="A2" s="7" t="str">
        <x:v>数据版本：2026-08-18；网页Base同步校验：2026-08-22。所有结论由统一模型生成；金额为亿美元。</x:v>
      </x:c>
      <x:c r="B2" s="7" t="str">
        <x:v>版本：2026-08-18。所有结论由统一模型生成；底层资料用于校准，不替代研究判断。金额为亿美元。</x:v>
      </x:c>
      <x:c r="C2" s="7" t="str">
        <x:v>版本：2026-08-18。所有结论由统一模型生成；底层资料用于校准，不替代研究判断。金额为亿美元。</x:v>
      </x:c>
      <x:c r="D2" s="7" t="str">
        <x:v>版本：2026-08-18。所有结论由统一模型生成；底层资料用于校准，不替代研究判断。金额为亿美元。</x:v>
      </x:c>
      <x:c r="E2" s="7" t="str">
        <x:v>版本：2026-08-18。所有结论由统一模型生成；底层资料用于校准，不替代研究判断。金额为亿美元。</x:v>
      </x:c>
      <x:c r="F2" s="7" t="str">
        <x:v>版本：2026-08-18。所有结论由统一模型生成；底层资料用于校准，不替代研究判断。金额为亿美元。</x:v>
      </x:c>
      <x:c r="G2" s="7" t="str">
        <x:v>版本：2026-08-18。所有结论由统一模型生成；底层资料用于校准，不替代研究判断。金额为亿美元。</x:v>
      </x:c>
      <x:c r="H2" s="7" t="str">
        <x:v>版本：2026-08-18。所有结论由统一模型生成；底层资料用于校准，不替代研究判断。金额为亿美元。</x:v>
      </x:c>
      <x:c r="I2" s="7" t="str">
        <x:v>版本：2026-08-18。所有结论由统一模型生成；底层资料用于校准，不替代研究判断。金额为亿美元。</x:v>
      </x:c>
      <x:c r="J2" s="7" t="str">
        <x:v>版本：2026-08-18。所有结论由统一模型生成；底层资料用于校准，不替代研究判断。金额为亿美元。</x:v>
      </x:c>
      <x:c r="K2" s="7" t="str">
        <x:v>版本：2026-08-18。所有结论由统一模型生成；底层资料用于校准，不替代研究判断。金额为亿美元。</x:v>
      </x:c>
      <x:c r="L2" s="7" t="str">
        <x:v>版本：2026-08-18。所有结论由统一模型生成；底层资料用于校准，不替代研究判断。金额为亿美元。</x:v>
      </x:c>
      <x:c r="M2" s="7" t="str">
        <x:v>版本：2026-08-18。所有结论由统一模型生成；底层资料用于校准，不替代研究判断。金额为亿美元。</x:v>
      </x:c>
      <x:c r="N2" s="7" t="str">
        <x:v>版本：2026-08-18。所有结论由统一模型生成；底层资料用于校准，不替代研究判断。金额为亿美元。</x:v>
      </x:c>
      <x:c r="O2" s="92"/>
      <x:c r="P2" s="92"/>
      <x:c r="Q2" s="92"/>
      <x:c r="R2" s="92"/>
    </x:row>
    <x:row r="3" ht="15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  <x:c r="K3" s="92"/>
      <x:c r="L3" s="92"/>
      <x:c r="M3" s="92"/>
      <x:c r="N3" s="92"/>
      <x:c r="O3" s="92"/>
      <x:c r="P3" s="92"/>
      <x:c r="Q3" s="92"/>
      <x:c r="R3" s="92"/>
    </x:row>
    <x:row r="4" ht="15" hidden="0" customHeight="1">
      <x:c r="A4" s="29" t="str">
        <x:v>2026E核心读数</x:v>
      </x:c>
      <x:c r="B4" s="29" t="str">
        <x:v>2026E核心读数</x:v>
      </x:c>
      <x:c r="C4" s="29" t="str">
        <x:v>2026E核心读数</x:v>
      </x:c>
      <x:c r="D4" s="29" t="str">
        <x:v>2026E核心读数</x:v>
      </x:c>
      <x:c r="E4" s="29" t="str">
        <x:v>2026E核心读数</x:v>
      </x:c>
      <x:c r="F4" s="29" t="str">
        <x:v>2026E核心读数</x:v>
      </x:c>
      <x:c r="G4" s="29" t="str">
        <x:v>2026E核心读数</x:v>
      </x:c>
      <x:c r="H4" s="29" t="str">
        <x:v>2026E核心读数</x:v>
      </x:c>
      <x:c r="I4" s="29" t="str">
        <x:v>2026E核心读数</x:v>
      </x:c>
      <x:c r="J4" s="29" t="str">
        <x:v>2026E核心读数</x:v>
      </x:c>
      <x:c r="K4" s="29" t="str">
        <x:v>2026E核心读数</x:v>
      </x:c>
      <x:c r="L4" s="29" t="str">
        <x:v>2026E核心读数</x:v>
      </x:c>
      <x:c r="M4" s="29" t="str">
        <x:v>2026E核心读数</x:v>
      </x:c>
      <x:c r="N4" s="29" t="str">
        <x:v>2026E核心读数</x:v>
      </x:c>
      <x:c r="O4" s="92"/>
      <x:c r="P4" s="92"/>
      <x:c r="Q4" s="92"/>
      <x:c r="R4" s="92"/>
    </x:row>
    <x:row r="5" ht="15" hidden="0" customHeight="1">
      <x:c r="A5" s="93" t="str">
        <x:v>净AI基建投资</x:v>
      </x:c>
      <x:c r="B5" s="93"/>
      <x:c r="C5" s="93"/>
      <x:c r="D5" s="93" t="str">
        <x:v>AI应用终端收入</x:v>
      </x:c>
      <x:c r="E5" s="93"/>
      <x:c r="F5" s="93"/>
      <x:c r="G5" s="93" t="str">
        <x:v>AI应用毛利</x:v>
      </x:c>
      <x:c r="H5" s="93"/>
      <x:c r="I5" s="93"/>
      <x:c r="J5" s="93" t="str">
        <x:v>广义经济回报</x:v>
      </x:c>
      <x:c r="K5" s="93"/>
      <x:c r="L5" s="93"/>
      <x:c r="M5" s="92"/>
      <x:c r="N5" s="92"/>
      <x:c r="O5" s="92"/>
      <x:c r="P5" s="92"/>
      <x:c r="Q5" s="92"/>
      <x:c r="R5" s="92"/>
    </x:row>
    <x:row r="6" ht="15" hidden="0" customHeight="1">
      <x:c r="A6" s="80" t="n">
        <x:f>'AI基建投资'!F10</x:f>
        <x:v>9109.897887323943</x:v>
      </x:c>
      <x:c r="B6" s="80"/>
      <x:c r="C6" s="80"/>
      <x:c r="D6" s="80" t="n">
        <x:f>'AI应用回报'!F13</x:f>
        <x:v>3118.76722001407</x:v>
      </x:c>
      <x:c r="E6" s="80"/>
      <x:c r="F6" s="80"/>
      <x:c r="G6" s="80" t="n">
        <x:f>'AI应用回报'!F15</x:f>
        <x:v>1559.383610007035</x:v>
      </x:c>
      <x:c r="H6" s="80"/>
      <x:c r="I6" s="80"/>
      <x:c r="J6" s="80" t="n">
        <x:f>'AI应用回报'!F17</x:f>
        <x:v>2394.3556100070355</x:v>
      </x:c>
      <x:c r="K6" s="80"/>
      <x:c r="L6" s="80"/>
      <x:c r="M6" s="92"/>
      <x:c r="N6" s="92"/>
      <x:c r="O6" s="92"/>
      <x:c r="P6" s="92"/>
      <x:c r="Q6" s="92"/>
      <x:c r="R6" s="92"/>
    </x:row>
    <x:row r="7" ht="15" hidden="0" customHeight="1">
      <x:c r="A7" s="80"/>
      <x:c r="B7" s="80"/>
      <x:c r="C7" s="80"/>
      <x:c r="D7" s="80"/>
      <x:c r="E7" s="80"/>
      <x:c r="F7" s="80"/>
      <x:c r="G7" s="80"/>
      <x:c r="H7" s="80"/>
      <x:c r="I7" s="80"/>
      <x:c r="J7" s="80"/>
      <x:c r="K7" s="80"/>
      <x:c r="L7" s="80"/>
      <x:c r="M7" s="92"/>
      <x:c r="N7" s="92"/>
      <x:c r="O7" s="92"/>
      <x:c r="P7" s="92"/>
      <x:c r="Q7" s="92"/>
      <x:c r="R7" s="92"/>
    </x:row>
    <x:row r="8" ht="15" hidden="0" customHeight="1">
      <x:c r="A8" s="94" t="str">
        <x:v>最终资产所有者口径</x:v>
      </x:c>
      <x:c r="B8" s="94"/>
      <x:c r="C8" s="94"/>
      <x:c r="D8" s="94" t="str">
        <x:v>供应链去重后最终客户支付</x:v>
      </x:c>
      <x:c r="E8" s="94"/>
      <x:c r="F8" s="94"/>
      <x:c r="G8" s="94" t="str">
        <x:v>产业加权毛利估计</x:v>
      </x:c>
      <x:c r="H8" s="94"/>
      <x:c r="I8" s="94"/>
      <x:c r="J8" s="94" t="str">
        <x:v>AI产业贡献毛利＋扣除外部AI费用后的企业效率净值</x:v>
      </x:c>
      <x:c r="K8" s="94"/>
      <x:c r="L8" s="94"/>
      <x:c r="M8" s="92"/>
      <x:c r="N8" s="92"/>
      <x:c r="O8" s="92"/>
      <x:c r="P8" s="92"/>
      <x:c r="Q8" s="92"/>
      <x:c r="R8" s="92"/>
    </x:row>
    <x:row r="9" ht="15" hidden="0" customHeight="1">
      <x:c r="A9" s="92"/>
      <x:c r="B9" s="92"/>
      <x:c r="C9" s="92"/>
      <x:c r="D9" s="92"/>
      <x:c r="E9" s="92"/>
      <x:c r="F9" s="92"/>
      <x:c r="G9" s="92"/>
      <x:c r="H9" s="92"/>
      <x:c r="I9" s="92"/>
      <x:c r="J9" s="92"/>
      <x:c r="K9" s="92"/>
      <x:c r="L9" s="92"/>
      <x:c r="M9" s="92"/>
      <x:c r="N9" s="92"/>
      <x:c r="O9" s="92"/>
      <x:c r="P9" s="92"/>
      <x:c r="Q9" s="92"/>
      <x:c r="R9" s="92"/>
    </x:row>
    <x:row r="10" ht="15" hidden="0" customHeight="1">
      <x:c r="A10" s="92"/>
      <x:c r="B10" s="92"/>
      <x:c r="C10" s="92"/>
      <x:c r="D10" s="92"/>
      <x:c r="E10" s="92"/>
      <x:c r="F10" s="92"/>
      <x:c r="G10" s="92"/>
      <x:c r="H10" s="92"/>
      <x:c r="I10" s="92"/>
      <x:c r="J10" s="92"/>
      <x:c r="K10" s="92"/>
      <x:c r="L10" s="92"/>
      <x:c r="M10" s="92"/>
      <x:c r="N10" s="92"/>
      <x:c r="O10" s="92"/>
      <x:c r="P10" s="92"/>
      <x:c r="Q10" s="92"/>
      <x:c r="R10" s="92"/>
    </x:row>
    <x:row r="11" ht="15" hidden="0" customHeight="1">
      <x:c r="A11" s="29" t="str">
        <x:v>2024A—2030E投资、回报与资本回收</x:v>
      </x:c>
      <x:c r="B11" s="29" t="str">
        <x:v>2024A—2030E投资、回报与资本回收</x:v>
      </x:c>
      <x:c r="C11" s="29" t="str">
        <x:v>2024A—2030E投资、回报与资本回收</x:v>
      </x:c>
      <x:c r="D11" s="29" t="str">
        <x:v>2024A—2030E投资、回报与资本回收</x:v>
      </x:c>
      <x:c r="E11" s="29" t="str">
        <x:v>2024A—2030E投资、回报与资本回收</x:v>
      </x:c>
      <x:c r="F11" s="29" t="str">
        <x:v>2024A—2030E投资、回报与资本回收</x:v>
      </x:c>
      <x:c r="G11" s="29" t="str">
        <x:v>2024A—2030E投资、回报与资本回收</x:v>
      </x:c>
      <x:c r="H11" s="29" t="str">
        <x:v>2024A—2030E投资、回报与资本回收</x:v>
      </x:c>
      <x:c r="I11" s="29" t="str">
        <x:v>2024A—2030E投资、回报与资本回收</x:v>
      </x:c>
      <x:c r="J11" s="29" t="str">
        <x:v>2024A—2030E投资、回报与资本回收</x:v>
      </x:c>
      <x:c r="K11" s="29" t="str">
        <x:v>2024A—2030E投资、回报与资本回收</x:v>
      </x:c>
      <x:c r="L11" s="29" t="str">
        <x:v>2024A—2030E投资、回报与资本回收</x:v>
      </x:c>
      <x:c r="M11" s="29" t="str">
        <x:v>2024A—2030E投资、回报与资本回收</x:v>
      </x:c>
      <x:c r="N11" s="29" t="str">
        <x:v>2024A—2030E投资、回报与资本回收</x:v>
      </x:c>
      <x:c r="O11" s="92"/>
      <x:c r="P11" s="92"/>
      <x:c r="Q11" s="92"/>
      <x:c r="R11" s="92"/>
    </x:row>
    <x:row r="12" ht="15" hidden="0" customHeight="1">
      <x:c r="A12" s="92"/>
      <x:c r="B12" s="92"/>
      <x:c r="C12" s="92"/>
      <x:c r="D12" s="92"/>
      <x:c r="E12" s="92"/>
      <x:c r="F12" s="92"/>
      <x:c r="G12" s="92"/>
      <x:c r="H12" s="92"/>
      <x:c r="I12" s="92"/>
      <x:c r="J12" s="92"/>
      <x:c r="K12" s="92"/>
      <x:c r="L12" s="92"/>
      <x:c r="M12" s="92"/>
      <x:c r="N12" s="92"/>
      <x:c r="O12" s="92"/>
      <x:c r="P12" s="92"/>
      <x:c r="Q12" s="92"/>
      <x:c r="R12" s="92"/>
    </x:row>
    <x:row r="13" ht="15" hidden="0" customHeight="1">
      <x:c r="A13" s="12" t="str">
        <x:v>年份</x:v>
      </x:c>
      <x:c r="B13" s="12" t="str">
        <x:v>净AI投资</x:v>
      </x:c>
      <x:c r="C13" s="12" t="str">
        <x:v>AI应用终端收入</x:v>
      </x:c>
      <x:c r="D13" s="12" t="str">
        <x:v>AI应用毛利</x:v>
      </x:c>
      <x:c r="E13" s="12" t="str">
        <x:v>AI资产经济折旧</x:v>
      </x:c>
      <x:c r="F13" s="12" t="str">
        <x:v>收入覆盖率</x:v>
      </x:c>
      <x:c r="G13" s="12" t="str">
        <x:v>应用毛利/经济折旧</x:v>
      </x:c>
      <x:c r="H13" s="12" t="str">
        <x:v>广义经济回报</x:v>
      </x:c>
      <x:c r="I13" s="106" t="str">
        <x:v>研究阶段</x:v>
      </x:c>
      <x:c r="J13" s="12" t="str">
        <x:v>统一模型结论</x:v>
      </x:c>
      <x:c r="K13" s="12" t="str">
        <x:v>当前读数</x:v>
      </x:c>
      <x:c r="L13" s="12" t="str">
        <x:v>解释</x:v>
      </x:c>
      <x:c r="M13" s="12" t="str"/>
      <x:c r="N13" s="12" t="str"/>
      <x:c r="O13" s="92"/>
      <x:c r="P13" s="95" t="str">
        <x:v>年份</x:v>
      </x:c>
      <x:c r="Q13" s="95" t="str">
        <x:v>收入覆盖率</x:v>
      </x:c>
      <x:c r="R13" s="95" t="str">
        <x:v>应用毛利/经济折旧</x:v>
      </x:c>
      <x:c r="S13" s="44" t="str">
        <x:v>收入覆盖分段（前段）</x:v>
      </x:c>
      <x:c r="T13" s="44" t="str">
        <x:v>收入覆盖分段（后段）</x:v>
      </x:c>
    </x:row>
    <x:row r="14" ht="42" hidden="0" customHeight="1">
      <x:c r="A14" s="16" t="n">
        <x:v>2024</x:v>
      </x:c>
      <x:c r="B14" s="40" t="n">
        <x:f>'资本回收'!D5</x:f>
        <x:v>2200</x:v>
      </x:c>
      <x:c r="C14" s="40" t="n">
        <x:f>'资本回收'!D6</x:f>
        <x:v>492.99999999999994</x:v>
      </x:c>
      <x:c r="D14" s="40" t="n">
        <x:f>'资本回收'!D7</x:f>
        <x:v>231.70999999999995</x:v>
      </x:c>
      <x:c r="E14" s="40" t="n">
        <x:f>'资本回收'!D9</x:f>
        <x:v>809.1333333333334</x:v>
      </x:c>
      <x:c r="F14" s="42" t="n">
        <x:f>'资本回收'!D12</x:f>
        <x:v>0.22409090909090906</x:v>
      </x:c>
      <x:c r="G14" s="47" t="n">
        <x:f>'资本回收'!D10</x:f>
        <x:v>0.2863681305100106</x:v>
      </x:c>
      <x:c r="H14" s="40" t="n">
        <x:f>'AI应用回报'!D17</x:f>
        <x:v>371.7099999999999</x:v>
      </x:c>
      <x:c r="I14" s="16" t="str">
        <x:f>IF(S14="",T14,S14)</x:f>
        <x:v>基础设施短缺期→AI应用加速放量期（过渡）</x:v>
      </x:c>
      <x:c r="J14" s="96" t="str">
        <x:v>2027E收入增速</x:v>
      </x:c>
      <x:c r="K14" s="97" t="n">
        <x:f>'AI应用回报'!G13/'AI应用回报'!F13-1</x:f>
        <x:v>1.433671535036407</x:v>
      </x:c>
      <x:c r="L14" s="96" t="str">
        <x:v>应用回报进入加速段</x:v>
      </x:c>
      <x:c r="M14" s="96" t="str"/>
      <x:c r="N14" s="96" t="str"/>
      <x:c r="O14" s="92"/>
      <x:c r="P14" s="95" t="n">
        <x:v>2024</x:v>
      </x:c>
      <x:c r="Q14" s="95" t="n">
        <x:f>F14</x:f>
        <x:v>0.22409090909090906</x:v>
      </x:c>
      <x:c r="R14" s="95" t="n">
        <x:f>G14</x:f>
        <x:v>0.2863681305100106</x:v>
      </x:c>
      <x:c r="S14" s="44" t="str">
        <x:f>IF(F14&lt;0.20,"基础设施短缺期",IF(F14&lt;=0.30,"基础设施短缺期→AI应用加速放量期（过渡）",IF(F14&lt;0.70,"AI应用加速放量期",IF(F14&lt;=0.80,"AI应用加速放量期→收入与投资收敛期（过渡）",""))))</x:f>
        <x:v>基础设施短缺期→AI应用加速放量期（过渡）</x:v>
      </x:c>
      <x:c r="T14" s="44" t="str">
        <x:f>IF(F14&lt;1.15,"收入与投资收敛期",IF(F14&lt;=1.25,IF(G14&lt;1,"收入与投资收敛期→收入覆盖与资本回收验证期（过渡）","收入与投资收敛期→规模化回报期（过渡）"),IF(G14&lt;1,"收入覆盖与资本回收验证期","规模化回报期")))</x:f>
        <x:v>收入与投资收敛期</x:v>
      </x:c>
    </x:row>
    <x:row r="15" ht="42" hidden="0" customHeight="1">
      <x:c r="A15" s="16" t="n">
        <x:v>2025</x:v>
      </x:c>
      <x:c r="B15" s="40" t="n">
        <x:f>'资本回收'!E5</x:f>
        <x:v>5050</x:v>
      </x:c>
      <x:c r="C15" s="40" t="n">
        <x:f>'资本回收'!E6</x:f>
        <x:v>1801.8</x:v>
      </x:c>
      <x:c r="D15" s="40" t="n">
        <x:f>'资本回收'!E7</x:f>
        <x:v>864.864</x:v>
      </x:c>
      <x:c r="E15" s="40" t="n">
        <x:f>'资本回收'!E9</x:f>
        <x:v>1480.8000000000002</x:v>
      </x:c>
      <x:c r="F15" s="42" t="n">
        <x:f>'资本回收'!E12</x:f>
        <x:v>0.3567920792079208</x:v>
      </x:c>
      <x:c r="G15" s="47" t="n">
        <x:f>'资本回收'!E10</x:f>
        <x:v>0.5840518638573743</x:v>
      </x:c>
      <x:c r="H15" s="40" t="n">
        <x:f>'AI应用回报'!E17</x:f>
        <x:v>1224.864</x:v>
      </x:c>
      <x:c r="I15" s="16" t="str">
        <x:f>IF(S15="",T15,S15)</x:f>
        <x:v>AI应用加速放量期</x:v>
      </x:c>
      <x:c r="J15" s="96" t="str">
        <x:v>2027E投资增速</x:v>
      </x:c>
      <x:c r="K15" s="97" t="n">
        <x:f>'AI基建投资'!G10/'AI基建投资'!F10-1</x:f>
        <x:v>0.6701906746068038</x:v>
      </x:c>
      <x:c r="L15" s="96" t="str">
        <x:v>大厂基数抬升后投入增速逐步放缓</x:v>
      </x:c>
      <x:c r="M15" s="96" t="str"/>
      <x:c r="N15" s="96" t="str"/>
      <x:c r="O15" s="92"/>
      <x:c r="P15" s="95" t="n">
        <x:v>2025</x:v>
      </x:c>
      <x:c r="Q15" s="95" t="n">
        <x:f>F15</x:f>
        <x:v>0.3567920792079208</x:v>
      </x:c>
      <x:c r="R15" s="95" t="n">
        <x:f>G15</x:f>
        <x:v>0.5840518638573743</x:v>
      </x:c>
      <x:c r="S15" s="44" t="str">
        <x:f>IF(F15&lt;0.20,"基础设施短缺期",IF(F15&lt;=0.30,"基础设施短缺期→AI应用加速放量期（过渡）",IF(F15&lt;0.70,"AI应用加速放量期",IF(F15&lt;=0.80,"AI应用加速放量期→收入与投资收敛期（过渡）",""))))</x:f>
        <x:v>AI应用加速放量期</x:v>
      </x:c>
      <x:c r="T15" s="44" t="str">
        <x:f>IF(F15&lt;1.15,"收入与投资收敛期",IF(F15&lt;=1.25,IF(G15&lt;1,"收入与投资收敛期→收入覆盖与资本回收验证期（过渡）","收入与投资收敛期→规模化回报期（过渡）"),IF(G15&lt;1,"收入覆盖与资本回收验证期","规模化回报期")))</x:f>
        <x:v>收入与投资收敛期</x:v>
      </x:c>
    </x:row>
    <x:row r="16" ht="42" hidden="0" customHeight="1">
      <x:c r="A16" s="16" t="n">
        <x:v>2026</x:v>
      </x:c>
      <x:c r="B16" s="40" t="n">
        <x:f>'资本回收'!F5</x:f>
        <x:v>9109.897887323943</x:v>
      </x:c>
      <x:c r="C16" s="40" t="n">
        <x:f>'资本回收'!F6</x:f>
        <x:v>3118.76722001407</x:v>
      </x:c>
      <x:c r="D16" s="40" t="n">
        <x:f>'资本回收'!F7</x:f>
        <x:v>1559.383610007035</x:v>
      </x:c>
      <x:c r="E16" s="40" t="n">
        <x:f>'资本回收'!F9</x:f>
        <x:v>2717.918356807512</x:v>
      </x:c>
      <x:c r="F16" s="42" t="n">
        <x:f>'资本回收'!F12</x:f>
        <x:v>0.3423493060612358</x:v>
      </x:c>
      <x:c r="G16" s="47" t="n">
        <x:f>'资本回收'!F10</x:f>
        <x:v>0.5737418881995776</x:v>
      </x:c>
      <x:c r="H16" s="40" t="n">
        <x:f>'AI应用回报'!F17</x:f>
        <x:v>2394.3556100070355</x:v>
      </x:c>
      <x:c r="I16" s="16" t="str">
        <x:f>IF(S16="",T16,S16)</x:f>
        <x:v>AI应用加速放量期</x:v>
      </x:c>
      <x:c r="J16" s="96" t="str">
        <x:v>2030E有效Token</x:v>
      </x:c>
      <x:c r="K16" s="96" t="n">
        <x:f>'Token量价利'!F9</x:f>
        <x:v>300</x:v>
      </x:c>
      <x:c r="L16" s="96" t="str">
        <x:v>千万亿Token/月；四类工作负载之和</x:v>
      </x:c>
      <x:c r="M16" s="96" t="str"/>
      <x:c r="N16" s="96" t="str"/>
      <x:c r="O16" s="92"/>
      <x:c r="P16" s="95" t="n">
        <x:v>2026</x:v>
      </x:c>
      <x:c r="Q16" s="95" t="n">
        <x:f>F16</x:f>
        <x:v>0.3423493060612358</x:v>
      </x:c>
      <x:c r="R16" s="95" t="n">
        <x:f>G16</x:f>
        <x:v>0.5737418881995776</x:v>
      </x:c>
      <x:c r="S16" s="44" t="str">
        <x:f>IF(F16&lt;0.20,"基础设施短缺期",IF(F16&lt;=0.30,"基础设施短缺期→AI应用加速放量期（过渡）",IF(F16&lt;0.70,"AI应用加速放量期",IF(F16&lt;=0.80,"AI应用加速放量期→收入与投资收敛期（过渡）",""))))</x:f>
        <x:v>AI应用加速放量期</x:v>
      </x:c>
      <x:c r="T16" s="44" t="str">
        <x:f>IF(F16&lt;1.15,"收入与投资收敛期",IF(F16&lt;=1.25,IF(G16&lt;1,"收入与投资收敛期→收入覆盖与资本回收验证期（过渡）","收入与投资收敛期→规模化回报期（过渡）"),IF(G16&lt;1,"收入覆盖与资本回收验证期","规模化回报期")))</x:f>
        <x:v>收入与投资收敛期</x:v>
      </x:c>
    </x:row>
    <x:row r="17" ht="42" hidden="0" customHeight="1">
      <x:c r="A17" s="16" t="n">
        <x:v>2027</x:v>
      </x:c>
      <x:c r="B17" s="40" t="n">
        <x:f>'资本回收'!G5</x:f>
        <x:v>15215.266498028674</x:v>
      </x:c>
      <x:c r="C17" s="40" t="n">
        <x:f>'资本回收'!G6</x:f>
        <x:v>7590.055007752871</x:v>
      </x:c>
      <x:c r="D17" s="40" t="n">
        <x:f>'资本回收'!G7</x:f>
        <x:v>4091.7735587818106</x:v>
      </x:c>
      <x:c r="E17" s="40" t="n">
        <x:f>'资本回收'!G9</x:f>
        <x:v>4813.890776518384</x:v>
      </x:c>
      <x:c r="F17" s="42" t="n">
        <x:f>'资本回收'!G12</x:f>
        <x:v>0.49884469711629803</x:v>
      </x:c>
      <x:c r="G17" s="47" t="n">
        <x:f>'资本回收'!G10</x:f>
        <x:v>0.8499930199374319</x:v>
      </x:c>
      <x:c r="H17" s="40" t="n">
        <x:f>'AI应用回报'!G17</x:f>
        <x:v>5512.843905581811</x:v>
      </x:c>
      <x:c r="I17" s="16" t="str">
        <x:f>IF(S17="",T17,S17)</x:f>
        <x:v>AI应用加速放量期</x:v>
      </x:c>
      <x:c r="J17" s="96" t="str">
        <x:v>2030E Token运营收入</x:v>
      </x:c>
      <x:c r="K17" s="98" t="n">
        <x:f>'Token量价利'!F14</x:f>
        <x:v>14461.387232211531</x:v>
      </x:c>
      <x:c r="L17" s="96" t="str">
        <x:v>进入模型/API与云AI，不重复加总</x:v>
      </x:c>
      <x:c r="M17" s="96" t="str"/>
      <x:c r="N17" s="96" t="str"/>
      <x:c r="O17" s="92"/>
      <x:c r="P17" s="95" t="n">
        <x:v>2027</x:v>
      </x:c>
      <x:c r="Q17" s="95" t="n">
        <x:f>F17</x:f>
        <x:v>0.49884469711629803</x:v>
      </x:c>
      <x:c r="R17" s="95" t="n">
        <x:f>G17</x:f>
        <x:v>0.8499930199374319</x:v>
      </x:c>
      <x:c r="S17" s="44" t="str">
        <x:f>IF(F17&lt;0.20,"基础设施短缺期",IF(F17&lt;=0.30,"基础设施短缺期→AI应用加速放量期（过渡）",IF(F17&lt;0.70,"AI应用加速放量期",IF(F17&lt;=0.80,"AI应用加速放量期→收入与投资收敛期（过渡）",""))))</x:f>
        <x:v>AI应用加速放量期</x:v>
      </x:c>
      <x:c r="T17" s="44" t="str">
        <x:f>IF(F17&lt;1.15,"收入与投资收敛期",IF(F17&lt;=1.25,IF(G17&lt;1,"收入与投资收敛期→收入覆盖与资本回收验证期（过渡）","收入与投资收敛期→规模化回报期（过渡）"),IF(G17&lt;1,"收入覆盖与资本回收验证期","规模化回报期")))</x:f>
        <x:v>收入与投资收敛期</x:v>
      </x:c>
    </x:row>
    <x:row r="18" ht="42" hidden="0" customHeight="1">
      <x:c r="A18" s="16" t="n">
        <x:v>2028</x:v>
      </x:c>
      <x:c r="B18" s="40" t="n">
        <x:f>'资本回收'!H5</x:f>
        <x:v>19985.094235372104</x:v>
      </x:c>
      <x:c r="C18" s="40" t="n">
        <x:f>'资本回收'!H6</x:f>
        <x:v>14974.93437310543</x:v>
      </x:c>
      <x:c r="D18" s="40" t="n">
        <x:f>'资本回收'!H7</x:f>
        <x:v>8604.884862962199</x:v>
      </x:c>
      <x:c r="E18" s="40" t="n">
        <x:f>'资本回收'!H9</x:f>
        <x:v>7534.437931039625</x:v>
      </x:c>
      <x:c r="F18" s="42" t="n">
        <x:f>'资本回收'!H12</x:f>
        <x:v>0.7493051669779435</x:v>
      </x:c>
      <x:c r="G18" s="47" t="n">
        <x:f>'资本回收'!H10</x:f>
        <x:v>1.1420738934635926</x:v>
      </x:c>
      <x:c r="H18" s="40" t="n">
        <x:f>'AI应用回报'!H17</x:f>
        <x:v>10742.490606962197</x:v>
      </x:c>
      <x:c r="I18" s="16" t="str">
        <x:f>IF(S18="",T18,S18)</x:f>
        <x:v>AI应用加速放量期→收入与投资收敛期（过渡）</x:v>
      </x:c>
      <x:c r="J18" s="96" t="str">
        <x:v>2030E生产级工作流渗透率</x:v>
      </x:c>
      <x:c r="K18" s="97" t="n">
        <x:f>'工作流ROI'!C31</x:f>
        <x:v>0.55</x:v>
      </x:c>
      <x:c r="L18" s="96" t="str">
        <x:v>联动应用收入与内部效率</x:v>
      </x:c>
      <x:c r="M18" s="96" t="str"/>
      <x:c r="N18" s="96" t="str"/>
      <x:c r="O18" s="92"/>
      <x:c r="P18" s="95" t="n">
        <x:v>2028</x:v>
      </x:c>
      <x:c r="Q18" s="95" t="n">
        <x:f>F18</x:f>
        <x:v>0.7493051669779435</x:v>
      </x:c>
      <x:c r="R18" s="95" t="n">
        <x:f>G18</x:f>
        <x:v>1.1420738934635926</x:v>
      </x:c>
      <x:c r="S18" s="44" t="str">
        <x:f>IF(F18&lt;0.20,"基础设施短缺期",IF(F18&lt;=0.30,"基础设施短缺期→AI应用加速放量期（过渡）",IF(F18&lt;0.70,"AI应用加速放量期",IF(F18&lt;=0.80,"AI应用加速放量期→收入与投资收敛期（过渡）",""))))</x:f>
        <x:v>AI应用加速放量期→收入与投资收敛期（过渡）</x:v>
      </x:c>
      <x:c r="T18" s="44" t="str">
        <x:f>IF(F18&lt;1.15,"收入与投资收敛期",IF(F18&lt;=1.25,IF(G18&lt;1,"收入与投资收敛期→收入覆盖与资本回收验证期（过渡）","收入与投资收敛期→规模化回报期（过渡）"),IF(G18&lt;1,"收入覆盖与资本回收验证期","规模化回报期")))</x:f>
        <x:v>收入与投资收敛期</x:v>
      </x:c>
    </x:row>
    <x:row r="19" ht="42" hidden="0" customHeight="1">
      <x:c r="A19" s="16" t="n">
        <x:v>2029</x:v>
      </x:c>
      <x:c r="B19" s="40" t="n">
        <x:f>'资本回收'!I5</x:f>
        <x:v>24375.11372397658</x:v>
      </x:c>
      <x:c r="C19" s="40" t="n">
        <x:f>'资本回收'!I6</x:f>
        <x:v>27041.117384703593</x:v>
      </x:c>
      <x:c r="D19" s="40" t="n">
        <x:f>'资本回收'!I7</x:f>
        <x:v>16361.947436779674</x:v>
      </x:c>
      <x:c r="E19" s="40" t="n">
        <x:f>'资本回收'!I9</x:f>
        <x:v>10674.45461055619</x:v>
      </x:c>
      <x:c r="F19" s="42" t="n">
        <x:f>'资本回收'!I12</x:f>
        <x:v>1.1093739988628073</x:v>
      </x:c>
      <x:c r="G19" s="47" t="n">
        <x:f>'资本回收'!I10</x:f>
        <x:v>1.5328134348521192</x:v>
      </x:c>
      <x:c r="H19" s="40" t="n">
        <x:f>'AI应用回报'!I17</x:f>
        <x:v>19313.985302329675</x:v>
      </x:c>
      <x:c r="I19" s="16" t="str">
        <x:f>IF(S19="",T19,S19)</x:f>
        <x:v>收入与投资收敛期</x:v>
      </x:c>
      <x:c r="J19" s="96" t="str">
        <x:v>2030E应用毛利/经济折旧</x:v>
      </x:c>
      <x:c r="K19" s="99" t="n">
        <x:f>'资本回收'!J10</x:f>
        <x:v>2.041246512585517</x:v>
      </x:c>
      <x:c r="L19" s="96" t="str">
        <x:v>资本回收代理，不等于自由现金流</x:v>
      </x:c>
      <x:c r="M19" s="96" t="str"/>
      <x:c r="N19" s="96" t="str"/>
      <x:c r="O19" s="92"/>
      <x:c r="P19" s="95" t="n">
        <x:v>2029</x:v>
      </x:c>
      <x:c r="Q19" s="95" t="n">
        <x:f>F19</x:f>
        <x:v>1.1093739988628073</x:v>
      </x:c>
      <x:c r="R19" s="95" t="n">
        <x:f>G19</x:f>
        <x:v>1.5328134348521192</x:v>
      </x:c>
      <x:c r="S19" s="44" t="str">
        <x:f>IF(F19&lt;0.20,"基础设施短缺期",IF(F19&lt;=0.30,"基础设施短缺期→AI应用加速放量期（过渡）",IF(F19&lt;0.70,"AI应用加速放量期",IF(F19&lt;=0.80,"AI应用加速放量期→收入与投资收敛期（过渡）",""))))</x:f>
      </x:c>
      <x:c r="T19" s="44" t="str">
        <x:f>IF(F19&lt;1.15,"收入与投资收敛期",IF(F19&lt;=1.25,IF(G19&lt;1,"收入与投资收敛期→收入覆盖与资本回收验证期（过渡）","收入与投资收敛期→规模化回报期（过渡）"),IF(G19&lt;1,"收入覆盖与资本回收验证期","规模化回报期")))</x:f>
        <x:v>收入与投资收敛期</x:v>
      </x:c>
    </x:row>
    <x:row r="20" ht="58" hidden="0" customHeight="1">
      <x:c r="A20" s="16" t="n">
        <x:v>2030</x:v>
      </x:c>
      <x:c r="B20" s="40" t="n">
        <x:f>'资本回收'!J5</x:f>
        <x:v>28052.214760179733</x:v>
      </x:c>
      <x:c r="C20" s="40" t="n">
        <x:f>'资本回收'!J6</x:f>
        <x:v>45089.74010130615</x:v>
      </x:c>
      <x:c r="D20" s="40" t="n">
        <x:f>'资本回收'!J7</x:f>
        <x:v>28453.31393061533</x:v>
      </x:c>
      <x:c r="E20" s="40" t="n">
        <x:f>'资本回收'!J9</x:f>
        <x:v>13939.185568809782</x:v>
      </x:c>
      <x:c r="F20" s="42" t="n">
        <x:f>'资本回收'!J12</x:f>
        <x:v>1.6073504529600022</x:v>
      </x:c>
      <x:c r="G20" s="47" t="n">
        <x:f>'资本回收'!J10</x:f>
        <x:v>2.041246512585517</x:v>
      </x:c>
      <x:c r="H20" s="40" t="n">
        <x:f>'AI应用回报'!J17</x:f>
        <x:v>32293.60173021533</x:v>
      </x:c>
      <x:c r="I20" s="16" t="str">
        <x:f>IF(S20="",T20,S20)</x:f>
        <x:v>规模化回报期</x:v>
      </x:c>
      <x:c r="J20" s="96" t="str">
        <x:v>研究阶段</x:v>
      </x:c>
      <x:c r="K20" s="96" t="str">
        <x:f>I20</x:f>
        <x:v>规模化回报期</x:v>
      </x:c>
      <x:c r="L20" s="101" t="str">
        <x:v>收入/投资按25%、75%、120%设置±5个百分点过渡带；超过125%后仅按应用毛利/经济折旧判定验证期或规模化回报期，应用毛利/同年投资仅作旁证</x:v>
      </x:c>
      <x:c r="M20" s="101" t="str"/>
      <x:c r="N20" s="101" t="str"/>
      <x:c r="O20" s="92"/>
      <x:c r="P20" s="95" t="n">
        <x:v>2030</x:v>
      </x:c>
      <x:c r="Q20" s="95" t="n">
        <x:f>F20</x:f>
        <x:v>1.6073504529600022</x:v>
      </x:c>
      <x:c r="R20" s="95" t="n">
        <x:f>G20</x:f>
        <x:v>2.041246512585517</x:v>
      </x:c>
      <x:c r="S20" s="44" t="str">
        <x:f>IF(F20&lt;0.20,"基础设施短缺期",IF(F20&lt;=0.30,"基础设施短缺期→AI应用加速放量期（过渡）",IF(F20&lt;0.70,"AI应用加速放量期",IF(F20&lt;=0.80,"AI应用加速放量期→收入与投资收敛期（过渡）",""))))</x:f>
      </x:c>
      <x:c r="T20" s="44" t="str">
        <x:f>IF(F20&lt;1.15,"收入与投资收敛期",IF(F20&lt;=1.25,IF(G20&lt;1,"收入与投资收敛期→收入覆盖与资本回收验证期（过渡）","收入与投资收敛期→规模化回报期（过渡）"),IF(G20&lt;1,"收入覆盖与资本回收验证期","规模化回报期")))</x:f>
        <x:v>规模化回报期</x:v>
      </x:c>
    </x:row>
    <x:row r="21" ht="15" hidden="0" customHeight="1">
      <x:c r="A21" s="92"/>
      <x:c r="B21" s="92"/>
      <x:c r="C21" s="92"/>
      <x:c r="D21" s="92"/>
      <x:c r="E21" s="92"/>
      <x:c r="F21" s="92"/>
      <x:c r="G21" s="92"/>
      <x:c r="H21" s="92"/>
      <x:c r="I21" s="92"/>
      <x:c r="J21" s="92"/>
      <x:c r="K21" s="92"/>
      <x:c r="L21" s="92"/>
      <x:c r="M21" s="92"/>
      <x:c r="N21" s="92"/>
      <x:c r="O21" s="92"/>
      <x:c r="P21" s="92"/>
      <x:c r="Q21" s="92"/>
      <x:c r="R21" s="92"/>
    </x:row>
    <x:row r="22" ht="15" hidden="0" customHeight="1">
      <x:c r="A22" s="92"/>
      <x:c r="B22" s="92"/>
      <x:c r="C22" s="92"/>
      <x:c r="D22" s="92"/>
      <x:c r="E22" s="92"/>
      <x:c r="F22" s="92"/>
      <x:c r="G22" s="92"/>
      <x:c r="H22" s="92"/>
      <x:c r="I22" s="92"/>
      <x:c r="J22" s="92"/>
      <x:c r="K22" s="92"/>
      <x:c r="L22" s="92"/>
      <x:c r="M22" s="92"/>
      <x:c r="N22" s="92"/>
      <x:c r="O22" s="92"/>
      <x:c r="P22" s="92"/>
      <x:c r="Q22" s="92"/>
      <x:c r="R22" s="92"/>
    </x:row>
    <x:row r="23" ht="15" hidden="0" customHeight="1">
      <x:c r="A23" s="92"/>
      <x:c r="B23" s="92"/>
      <x:c r="C23" s="92"/>
      <x:c r="D23" s="92"/>
      <x:c r="E23" s="92"/>
      <x:c r="F23" s="92"/>
      <x:c r="G23" s="92"/>
      <x:c r="H23" s="92"/>
      <x:c r="I23" s="92"/>
      <x:c r="J23" s="92"/>
      <x:c r="K23" s="92"/>
      <x:c r="L23" s="92"/>
      <x:c r="M23" s="92"/>
      <x:c r="N23" s="92"/>
      <x:c r="O23" s="92"/>
      <x:c r="P23" s="92"/>
      <x:c r="Q23" s="92"/>
      <x:c r="R23" s="92"/>
    </x:row>
    <x:row r="24" ht="15" hidden="0" customHeight="1">
      <x:c r="A24" s="92"/>
      <x:c r="B24" s="92"/>
      <x:c r="C24" s="92"/>
      <x:c r="D24" s="92"/>
      <x:c r="E24" s="92"/>
      <x:c r="F24" s="92"/>
      <x:c r="G24" s="92"/>
      <x:c r="H24" s="92"/>
      <x:c r="I24" s="92"/>
      <x:c r="J24" s="92"/>
      <x:c r="K24" s="92"/>
      <x:c r="L24" s="92"/>
      <x:c r="M24" s="92"/>
      <x:c r="N24" s="92"/>
      <x:c r="O24" s="92"/>
      <x:c r="P24" s="92"/>
      <x:c r="Q24" s="92"/>
      <x:c r="R24" s="92"/>
    </x:row>
    <x:row r="25" ht="15" hidden="0" customHeight="1">
      <x:c r="A25" s="92"/>
      <x:c r="B25" s="92"/>
      <x:c r="C25" s="92"/>
      <x:c r="D25" s="92"/>
      <x:c r="E25" s="92"/>
      <x:c r="F25" s="92"/>
      <x:c r="G25" s="92"/>
      <x:c r="H25" s="92"/>
      <x:c r="I25" s="92"/>
      <x:c r="J25" s="92"/>
      <x:c r="K25" s="92"/>
      <x:c r="L25" s="92"/>
      <x:c r="M25" s="92"/>
      <x:c r="N25" s="92"/>
      <x:c r="O25" s="92"/>
      <x:c r="P25" s="92"/>
      <x:c r="Q25" s="92"/>
      <x:c r="R25" s="92"/>
    </x:row>
    <x:row r="26" ht="15" hidden="0" customHeight="1">
      <x:c r="A26" s="92"/>
      <x:c r="B26" s="92"/>
      <x:c r="C26" s="92"/>
      <x:c r="D26" s="92"/>
      <x:c r="E26" s="92"/>
      <x:c r="F26" s="92"/>
      <x:c r="G26" s="92"/>
      <x:c r="H26" s="92"/>
      <x:c r="I26" s="92"/>
      <x:c r="J26" s="92"/>
      <x:c r="K26" s="92"/>
      <x:c r="L26" s="92"/>
      <x:c r="M26" s="92"/>
      <x:c r="N26" s="92"/>
      <x:c r="O26" s="92"/>
      <x:c r="P26" s="92"/>
      <x:c r="Q26" s="92"/>
      <x:c r="R26" s="92"/>
    </x:row>
    <x:row r="27" ht="15" hidden="0" customHeight="1">
      <x:c r="A27" s="92"/>
      <x:c r="B27" s="92"/>
      <x:c r="C27" s="92"/>
      <x:c r="D27" s="92"/>
      <x:c r="E27" s="92"/>
      <x:c r="F27" s="92"/>
      <x:c r="G27" s="92"/>
      <x:c r="H27" s="92"/>
      <x:c r="I27" s="92"/>
      <x:c r="J27" s="92"/>
      <x:c r="K27" s="92"/>
      <x:c r="L27" s="92"/>
      <x:c r="M27" s="92"/>
      <x:c r="N27" s="92"/>
      <x:c r="O27" s="92"/>
      <x:c r="P27" s="92"/>
      <x:c r="Q27" s="92"/>
      <x:c r="R27" s="92"/>
    </x:row>
    <x:row r="28" ht="15" hidden="0" customHeight="1">
      <x:c r="A28" s="92"/>
      <x:c r="B28" s="92"/>
      <x:c r="C28" s="92"/>
      <x:c r="D28" s="92"/>
      <x:c r="E28" s="92"/>
      <x:c r="F28" s="92"/>
      <x:c r="G28" s="92"/>
      <x:c r="H28" s="92"/>
      <x:c r="I28" s="92"/>
      <x:c r="J28" s="92"/>
      <x:c r="K28" s="92"/>
      <x:c r="L28" s="92"/>
      <x:c r="M28" s="92"/>
      <x:c r="N28" s="92"/>
      <x:c r="O28" s="92"/>
      <x:c r="P28" s="92"/>
      <x:c r="Q28" s="92"/>
      <x:c r="R28" s="92"/>
    </x:row>
    <x:row r="29" ht="15" hidden="0" customHeight="1">
      <x:c r="A29" s="92"/>
      <x:c r="B29" s="92"/>
      <x:c r="C29" s="92"/>
      <x:c r="D29" s="92"/>
      <x:c r="E29" s="92"/>
      <x:c r="F29" s="92"/>
      <x:c r="G29" s="92"/>
      <x:c r="H29" s="92"/>
      <x:c r="I29" s="92"/>
      <x:c r="J29" s="92"/>
      <x:c r="K29" s="92"/>
      <x:c r="L29" s="92"/>
      <x:c r="M29" s="92"/>
      <x:c r="N29" s="92"/>
      <x:c r="O29" s="92"/>
      <x:c r="P29" s="92"/>
      <x:c r="Q29" s="92"/>
      <x:c r="R29" s="92"/>
    </x:row>
    <x:row r="30" ht="15" hidden="0" customHeight="1">
      <x:c r="A30" s="92"/>
      <x:c r="B30" s="92"/>
      <x:c r="C30" s="92"/>
      <x:c r="D30" s="92"/>
      <x:c r="E30" s="92"/>
      <x:c r="F30" s="92"/>
      <x:c r="G30" s="92"/>
      <x:c r="H30" s="92"/>
      <x:c r="I30" s="92"/>
      <x:c r="J30" s="92"/>
      <x:c r="K30" s="92"/>
      <x:c r="L30" s="92"/>
      <x:c r="M30" s="92"/>
      <x:c r="N30" s="92"/>
      <x:c r="O30" s="92"/>
      <x:c r="P30" s="92"/>
      <x:c r="Q30" s="92"/>
      <x:c r="R30" s="92"/>
    </x:row>
    <x:row r="31" ht="15" hidden="0" customHeight="1">
      <x:c r="A31" s="92"/>
      <x:c r="B31" s="92"/>
      <x:c r="C31" s="92"/>
      <x:c r="D31" s="92"/>
      <x:c r="E31" s="92"/>
      <x:c r="F31" s="92"/>
      <x:c r="G31" s="92"/>
      <x:c r="H31" s="92"/>
      <x:c r="I31" s="92"/>
      <x:c r="J31" s="92"/>
      <x:c r="K31" s="92"/>
      <x:c r="L31" s="92"/>
      <x:c r="M31" s="92"/>
      <x:c r="N31" s="92"/>
      <x:c r="O31" s="92"/>
      <x:c r="P31" s="92"/>
      <x:c r="Q31" s="92"/>
      <x:c r="R31" s="92"/>
    </x:row>
    <x:row r="32" ht="15" hidden="0" customHeight="1">
      <x:c r="A32" s="92"/>
      <x:c r="B32" s="92"/>
      <x:c r="C32" s="92"/>
      <x:c r="D32" s="92"/>
      <x:c r="E32" s="92"/>
      <x:c r="F32" s="92"/>
      <x:c r="G32" s="92"/>
      <x:c r="H32" s="92"/>
      <x:c r="I32" s="92"/>
      <x:c r="J32" s="92"/>
      <x:c r="K32" s="92"/>
      <x:c r="L32" s="92"/>
      <x:c r="M32" s="92"/>
      <x:c r="N32" s="92"/>
      <x:c r="O32" s="92"/>
      <x:c r="P32" s="92"/>
      <x:c r="Q32" s="92"/>
      <x:c r="R32" s="92"/>
    </x:row>
    <x:row r="33" ht="15" hidden="0" customHeight="1">
      <x:c r="A33" s="92"/>
      <x:c r="B33" s="92"/>
      <x:c r="C33" s="92"/>
      <x:c r="D33" s="92"/>
      <x:c r="E33" s="92"/>
      <x:c r="F33" s="92"/>
      <x:c r="G33" s="92"/>
      <x:c r="H33" s="92"/>
      <x:c r="I33" s="92"/>
      <x:c r="J33" s="92"/>
      <x:c r="K33" s="92"/>
      <x:c r="L33" s="92"/>
      <x:c r="M33" s="92"/>
      <x:c r="N33" s="92"/>
      <x:c r="O33" s="92"/>
      <x:c r="P33" s="92"/>
      <x:c r="Q33" s="92"/>
      <x:c r="R33" s="92"/>
    </x:row>
    <x:row r="34" ht="15" hidden="0" customHeight="1">
      <x:c r="A34" s="92"/>
      <x:c r="B34" s="92"/>
      <x:c r="C34" s="92"/>
      <x:c r="D34" s="92"/>
      <x:c r="E34" s="92"/>
      <x:c r="F34" s="92"/>
      <x:c r="G34" s="92"/>
      <x:c r="H34" s="92"/>
      <x:c r="I34" s="92"/>
      <x:c r="J34" s="92"/>
      <x:c r="K34" s="92"/>
      <x:c r="L34" s="92"/>
      <x:c r="M34" s="92"/>
      <x:c r="N34" s="92"/>
      <x:c r="O34" s="92"/>
      <x:c r="P34" s="92"/>
      <x:c r="Q34" s="92"/>
      <x:c r="R34" s="92"/>
    </x:row>
    <x:row r="35" ht="15" hidden="0" customHeight="1">
      <x:c r="A35" s="92"/>
      <x:c r="B35" s="92"/>
      <x:c r="C35" s="92"/>
      <x:c r="D35" s="92"/>
      <x:c r="E35" s="92"/>
      <x:c r="F35" s="92"/>
      <x:c r="G35" s="92"/>
      <x:c r="H35" s="92"/>
      <x:c r="I35" s="92"/>
      <x:c r="J35" s="92"/>
      <x:c r="K35" s="92"/>
      <x:c r="L35" s="92"/>
      <x:c r="M35" s="92"/>
      <x:c r="N35" s="92"/>
      <x:c r="O35" s="92"/>
      <x:c r="P35" s="92"/>
      <x:c r="Q35" s="92"/>
      <x:c r="R35" s="92"/>
    </x:row>
    <x:row r="36" ht="15" hidden="0" customHeight="1">
      <x:c r="A36" s="92"/>
      <x:c r="B36" s="92"/>
      <x:c r="C36" s="92"/>
      <x:c r="D36" s="92"/>
      <x:c r="E36" s="92"/>
      <x:c r="F36" s="92"/>
      <x:c r="G36" s="92"/>
      <x:c r="H36" s="92"/>
      <x:c r="I36" s="92"/>
      <x:c r="J36" s="92"/>
      <x:c r="K36" s="92"/>
      <x:c r="L36" s="92"/>
      <x:c r="M36" s="92"/>
      <x:c r="N36" s="92"/>
      <x:c r="O36" s="92"/>
      <x:c r="P36" s="92"/>
      <x:c r="Q36" s="92"/>
      <x:c r="R36" s="92"/>
    </x:row>
    <x:row r="37" ht="15" hidden="0" customHeight="1">
      <x:c r="A37" s="92"/>
      <x:c r="B37" s="92"/>
      <x:c r="C37" s="92"/>
      <x:c r="D37" s="92"/>
      <x:c r="E37" s="92"/>
      <x:c r="F37" s="92"/>
      <x:c r="G37" s="92"/>
      <x:c r="H37" s="92"/>
      <x:c r="I37" s="92"/>
      <x:c r="J37" s="92"/>
      <x:c r="K37" s="92"/>
      <x:c r="L37" s="92"/>
      <x:c r="M37" s="92"/>
      <x:c r="N37" s="92"/>
      <x:c r="O37" s="92"/>
      <x:c r="P37" s="92"/>
      <x:c r="Q37" s="92"/>
      <x:c r="R37" s="92"/>
    </x:row>
    <x:row r="38" ht="15" hidden="0" customHeight="1">
      <x:c r="A38" s="92"/>
      <x:c r="B38" s="92"/>
      <x:c r="C38" s="92"/>
      <x:c r="D38" s="92"/>
      <x:c r="E38" s="92"/>
      <x:c r="F38" s="92"/>
      <x:c r="G38" s="92"/>
      <x:c r="H38" s="92"/>
      <x:c r="I38" s="92"/>
      <x:c r="J38" s="92"/>
      <x:c r="K38" s="92"/>
      <x:c r="L38" s="92"/>
      <x:c r="M38" s="92"/>
      <x:c r="N38" s="92"/>
      <x:c r="O38" s="92"/>
      <x:c r="P38" s="92"/>
      <x:c r="Q38" s="92"/>
      <x:c r="R38" s="92"/>
    </x:row>
    <x:row r="39" ht="15" hidden="0" customHeight="1">
      <x:c r="A39" s="92"/>
      <x:c r="B39" s="92"/>
      <x:c r="C39" s="92"/>
      <x:c r="D39" s="92"/>
      <x:c r="E39" s="92"/>
      <x:c r="F39" s="92"/>
      <x:c r="G39" s="92"/>
      <x:c r="H39" s="92"/>
      <x:c r="I39" s="92"/>
      <x:c r="J39" s="92"/>
      <x:c r="K39" s="92"/>
      <x:c r="L39" s="92"/>
      <x:c r="M39" s="92"/>
      <x:c r="N39" s="92"/>
      <x:c r="O39" s="92"/>
      <x:c r="P39" s="92"/>
      <x:c r="Q39" s="92"/>
      <x:c r="R39" s="92"/>
    </x:row>
    <x:row r="40" ht="15" hidden="0" customHeight="1">
      <x:c r="A40" s="92"/>
      <x:c r="B40" s="92"/>
      <x:c r="C40" s="92"/>
      <x:c r="D40" s="92"/>
      <x:c r="E40" s="92"/>
      <x:c r="F40" s="92"/>
      <x:c r="G40" s="92"/>
      <x:c r="H40" s="92"/>
      <x:c r="I40" s="92"/>
      <x:c r="J40" s="92"/>
      <x:c r="K40" s="92"/>
      <x:c r="L40" s="92"/>
      <x:c r="M40" s="92"/>
      <x:c r="N40" s="92"/>
      <x:c r="O40" s="92"/>
      <x:c r="P40" s="92"/>
      <x:c r="Q40" s="92"/>
      <x:c r="R40" s="92"/>
    </x:row>
    <x:row r="41" ht="15" hidden="0" customHeight="1">
      <x:c r="A41" s="92"/>
      <x:c r="B41" s="92"/>
      <x:c r="C41" s="92"/>
      <x:c r="D41" s="92"/>
      <x:c r="E41" s="92"/>
      <x:c r="F41" s="92"/>
      <x:c r="G41" s="92"/>
      <x:c r="H41" s="92"/>
      <x:c r="I41" s="92"/>
      <x:c r="J41" s="92"/>
      <x:c r="K41" s="92"/>
      <x:c r="L41" s="92"/>
      <x:c r="M41" s="92"/>
      <x:c r="N41" s="92"/>
      <x:c r="O41" s="92"/>
      <x:c r="P41" s="92"/>
      <x:c r="Q41" s="92"/>
      <x:c r="R41" s="92"/>
    </x:row>
    <x:row r="42" ht="15" hidden="0" customHeight="1">
      <x:c r="A42" s="29" t="str">
        <x:v>研究结论</x:v>
      </x:c>
      <x:c r="B42" s="29" t="str">
        <x:v>研究结论</x:v>
      </x:c>
      <x:c r="C42" s="29" t="str">
        <x:v>研究结论</x:v>
      </x:c>
      <x:c r="D42" s="29" t="str">
        <x:v>研究结论</x:v>
      </x:c>
      <x:c r="E42" s="29" t="str">
        <x:v>研究结论</x:v>
      </x:c>
      <x:c r="F42" s="29" t="str">
        <x:v>研究结论</x:v>
      </x:c>
      <x:c r="G42" s="29" t="str">
        <x:v>研究结论</x:v>
      </x:c>
      <x:c r="H42" s="29" t="str">
        <x:v>研究结论</x:v>
      </x:c>
      <x:c r="I42" s="29" t="str">
        <x:v>研究结论</x:v>
      </x:c>
      <x:c r="J42" s="29" t="str">
        <x:v>研究结论</x:v>
      </x:c>
      <x:c r="K42" s="29" t="str">
        <x:v>研究结论</x:v>
      </x:c>
      <x:c r="L42" s="29" t="str">
        <x:v>研究结论</x:v>
      </x:c>
      <x:c r="M42" s="29" t="str">
        <x:v>研究结论</x:v>
      </x:c>
      <x:c r="N42" s="29" t="str">
        <x:v>研究结论</x:v>
      </x:c>
      <x:c r="O42" s="92"/>
      <x:c r="P42" s="92"/>
      <x:c r="Q42" s="92"/>
      <x:c r="R42" s="92"/>
    </x:row>
    <x:row r="43" ht="15" hidden="0" customHeight="1">
      <x:c r="A43" s="90" t="str">
        <x:v>1</x:v>
      </x:c>
      <x:c r="B43" s="91" t="str">
        <x:v>2026E仍处于AI应用加速放量期：应用收入覆盖净投资的水平较低，但回报增长斜率已经上升。</x:v>
      </x:c>
      <x:c r="C43" s="91" t="str"/>
      <x:c r="D43" s="91" t="str"/>
      <x:c r="E43" s="91" t="str"/>
      <x:c r="F43" s="91" t="str"/>
      <x:c r="G43" s="91" t="str"/>
      <x:c r="H43" s="91" t="str"/>
      <x:c r="I43" s="91" t="str"/>
      <x:c r="J43" s="91" t="str"/>
      <x:c r="K43" s="91" t="str"/>
      <x:c r="L43" s="91" t="str"/>
      <x:c r="M43" s="91" t="str"/>
      <x:c r="N43" s="91" t="str"/>
      <x:c r="O43" s="92"/>
      <x:c r="P43" s="92"/>
      <x:c r="Q43" s="92"/>
      <x:c r="R43" s="92"/>
    </x:row>
    <x:row r="44" ht="15" hidden="0" customHeight="1">
      <x:c r="A44" s="90" t="str">
        <x:v>2</x:v>
      </x:c>
      <x:c r="B44" s="91" t="str">
        <x:v>2027E以后，应用收入由有效Token量价利和生产级工作流采用共同驱动；不是单一增速假设，也不是把机构预测相加。</x:v>
      </x:c>
      <x:c r="C44" s="91" t="str"/>
      <x:c r="D44" s="91" t="str"/>
      <x:c r="E44" s="91" t="str"/>
      <x:c r="F44" s="91" t="str"/>
      <x:c r="G44" s="91" t="str"/>
      <x:c r="H44" s="91" t="str"/>
      <x:c r="I44" s="91" t="str"/>
      <x:c r="J44" s="91" t="str"/>
      <x:c r="K44" s="91" t="str"/>
      <x:c r="L44" s="91" t="str"/>
      <x:c r="M44" s="91" t="str"/>
      <x:c r="N44" s="91" t="str"/>
      <x:c r="O44" s="92"/>
      <x:c r="P44" s="92"/>
      <x:c r="Q44" s="92"/>
      <x:c r="R44" s="92"/>
    </x:row>
    <x:row r="45" ht="15" hidden="0" customHeight="1">
      <x:c r="A45" s="90" t="str">
        <x:v>3</x:v>
      </x:c>
      <x:c r="B45" s="91" t="str">
        <x:v>企业内部AI调用不直接确认为收入；已兑现成本节省还要扣除同时计入终端收入的模型订阅/API、开源模型云部署、应用席位和外部服务费用。</x:v>
      </x:c>
      <x:c r="C45" s="91" t="str"/>
      <x:c r="D45" s="91" t="str"/>
      <x:c r="E45" s="91" t="str"/>
      <x:c r="F45" s="91" t="str"/>
      <x:c r="G45" s="91" t="str"/>
      <x:c r="H45" s="91" t="str"/>
      <x:c r="I45" s="91" t="str"/>
      <x:c r="J45" s="91" t="str"/>
      <x:c r="K45" s="91" t="str"/>
      <x:c r="L45" s="91" t="str"/>
      <x:c r="M45" s="91" t="str"/>
      <x:c r="N45" s="91" t="str"/>
      <x:c r="O45" s="92"/>
      <x:c r="P45" s="92"/>
      <x:c r="Q45" s="92"/>
      <x:c r="R45" s="92"/>
    </x:row>
    <x:row r="46" ht="15" hidden="0" customHeight="1">
      <x:c r="A46" s="90" t="str">
        <x:v>4</x:v>
      </x:c>
      <x:c r="B46" s="91" t="str">
        <x:v>收入覆盖当年投资只是产业收敛信号；应用毛利覆盖AI资产经济折旧，才是资本回收开始得到验证的更严格条件。</x:v>
      </x:c>
      <x:c r="C46" s="91" t="str"/>
      <x:c r="D46" s="91" t="str"/>
      <x:c r="E46" s="91" t="str"/>
      <x:c r="F46" s="91" t="str"/>
      <x:c r="G46" s="91" t="str"/>
      <x:c r="H46" s="91" t="str"/>
      <x:c r="I46" s="91" t="str"/>
      <x:c r="J46" s="91" t="str"/>
      <x:c r="K46" s="91" t="str"/>
      <x:c r="L46" s="91" t="str"/>
      <x:c r="M46" s="91" t="str"/>
      <x:c r="N46" s="91" t="str"/>
      <x:c r="O46" s="92"/>
      <x:c r="P46" s="92"/>
      <x:c r="Q46" s="92"/>
      <x:c r="R46" s="92"/>
    </x:row>
    <x:row r="47" ht="15" hidden="0" customHeight="1">
      <x:c r="A47" s="90" t="str">
        <x:v>5</x:v>
      </x:c>
      <x:c r="B47" s="91" t="str">
        <x:v>未来更新重点：可计费Token比例、价格/成本降幅、工作流生产采用、GPU利用率、合同兑现、资产寿命和自由现金流。</x:v>
      </x:c>
      <x:c r="C47" s="91" t="str"/>
      <x:c r="D47" s="91" t="str"/>
      <x:c r="E47" s="91" t="str"/>
      <x:c r="F47" s="91" t="str"/>
      <x:c r="G47" s="91" t="str"/>
      <x:c r="H47" s="91" t="str"/>
      <x:c r="I47" s="91" t="str"/>
      <x:c r="J47" s="91" t="str"/>
      <x:c r="K47" s="91" t="str"/>
      <x:c r="L47" s="91" t="str"/>
      <x:c r="M47" s="91" t="str"/>
      <x:c r="N47" s="91" t="str"/>
      <x:c r="O47" s="92"/>
      <x:c r="P47" s="92"/>
      <x:c r="Q47" s="92"/>
      <x:c r="R47" s="92"/>
    </x:row>
  </x:sheetData>
  <x:mergeCells>
    <x:mergeCell ref="A1:N1"/>
    <x:mergeCell ref="A2:N2"/>
    <x:mergeCell ref="A4:N4"/>
    <x:mergeCell ref="A5:C5"/>
    <x:mergeCell ref="A6:C7"/>
    <x:mergeCell ref="A8:C8"/>
    <x:mergeCell ref="D5:F5"/>
    <x:mergeCell ref="D6:F7"/>
    <x:mergeCell ref="D8:F8"/>
    <x:mergeCell ref="G5:I5"/>
    <x:mergeCell ref="G6:I7"/>
    <x:mergeCell ref="G8:I8"/>
    <x:mergeCell ref="J5:L5"/>
    <x:mergeCell ref="J6:L7"/>
    <x:mergeCell ref="J8:L8"/>
    <x:mergeCell ref="A11:N11"/>
    <x:mergeCell ref="A42:N42"/>
    <x:mergeCell ref="B43:N43"/>
    <x:mergeCell ref="B44:N44"/>
    <x:mergeCell ref="B45:N45"/>
    <x:mergeCell ref="B46:N46"/>
    <x:mergeCell ref="B47:N47"/>
  </x:mergeCells>
  <x:pageMargins left="0.7" right="0.7" top="0.75" bottom="0.75" header="0.3" footer="0.3"/>
  <x:drawing xmlns:r="http://schemas.openxmlformats.org/officeDocument/2006/relationships" r:id="Rdfad6e84a04344e1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5" hidden="0" customWidth="1"/>
    <x:col min="3" max="3" width="12" hidden="0" customWidth="1"/>
    <x:col min="4" max="4" width="56" hidden="0" customWidth="1"/>
    <x:col min="5" max="5" width="3" hidden="0" customWidth="1"/>
    <x:col min="6" max="6" width="19" hidden="0" customWidth="1"/>
    <x:col min="7" max="7" width="20" hidden="0" customWidth="1"/>
    <x:col min="8" max="8" width="31" hidden="0" customWidth="1"/>
  </x:cols>
  <x:sheetData>
    <x:row r="1" ht="21.600000381469727" hidden="0" customHeight="1">
      <x:c r="A1" s="3" t="str">
        <x:v>全球AI产业总量模型｜统一参数</x:v>
      </x:c>
      <x:c r="B1" s="3" t="str">
        <x:v>全球AI产业总量模型｜统一参数</x:v>
      </x:c>
      <x:c r="C1" s="3" t="str">
        <x:v>全球AI产业总量模型｜统一参数</x:v>
      </x:c>
      <x:c r="D1" s="3" t="str">
        <x:v>全球AI产业总量模型｜统一参数</x:v>
      </x:c>
      <x:c r="E1" s="3" t="str">
        <x:v>全球AI产业总量模型｜统一参数</x:v>
      </x:c>
      <x:c r="F1" s="3" t="str">
        <x:v>全球AI产业总量模型｜统一参数</x:v>
      </x:c>
      <x:c r="G1" s="3" t="str">
        <x:v>全球AI产业总量模型｜统一参数</x:v>
      </x:c>
      <x:c r="H1" s="3" t="str">
        <x:v>全球AI产业总量模型｜统一参数</x:v>
      </x:c>
    </x:row>
    <x:row r="2" ht="15" hidden="0" customHeight="1">
      <x:c r="A2" s="7" t="str">
        <x:v>数据版本：2026-08-18；网页Base同步校验：2026-08-22。黄底蓝字为可编辑假设；金额默认亿美元。</x:v>
      </x:c>
      <x:c r="B2" s="7" t="str">
        <x:v>版本：2026-08-18。黄底蓝字为可编辑假设；网页与本模型使用同一组投资、Token、工作流、收入去重和资本回收参数。金额默认亿美元。</x:v>
      </x:c>
      <x:c r="C2" s="7" t="str">
        <x:v>版本：2026-08-18。黄底蓝字为可编辑假设；网页与本模型使用同一组投资、Token、工作流、收入去重和资本回收参数。金额默认亿美元。</x:v>
      </x:c>
      <x:c r="D2" s="7" t="str">
        <x:v>版本：2026-08-18。黄底蓝字为可编辑假设；网页与本模型使用同一组投资、Token、工作流、收入去重和资本回收参数。金额默认亿美元。</x:v>
      </x:c>
      <x:c r="E2" s="7" t="str">
        <x:v>版本：2026-08-18。黄底蓝字为可编辑假设；网页与本模型使用同一组投资、Token、工作流、收入去重和资本回收参数。金额默认亿美元。</x:v>
      </x:c>
      <x:c r="F2" s="7" t="str">
        <x:v>版本：2026-08-18。黄底蓝字为可编辑假设；网页与本模型使用同一组投资、Token、工作流、收入去重和资本回收参数。金额默认亿美元。</x:v>
      </x:c>
      <x:c r="G2" s="7" t="str">
        <x:v>版本：2026-08-18。黄底蓝字为可编辑假设；网页与本模型使用同一组投资、Token、工作流、收入去重和资本回收参数。金额默认亿美元。</x:v>
      </x:c>
      <x:c r="H2" s="7" t="str">
        <x:v>版本：2026-08-18。黄底蓝字为可编辑假设；网页与本模型使用同一组投资、Token、工作流、收入去重和资本回收参数。金额默认亿美元。</x:v>
      </x:c>
    </x:row>
    <x:row r="3" ht="15" hidden="0" customHeight="1">
      <x:c r="A3" s="92"/>
      <x:c r="B3" s="92"/>
      <x:c r="C3" s="92"/>
      <x:c r="D3" s="92"/>
      <x:c r="E3" s="92"/>
      <x:c r="F3" s="92"/>
      <x:c r="G3" s="92"/>
      <x:c r="H3" s="92"/>
    </x:row>
    <x:row r="4" ht="15" hidden="0" customHeight="1">
      <x:c r="A4" s="12" t="str">
        <x:v>参数</x:v>
      </x:c>
      <x:c r="B4" s="12" t="str">
        <x:v>当前输入</x:v>
      </x:c>
      <x:c r="C4" s="12" t="str">
        <x:v>单位</x:v>
      </x:c>
      <x:c r="D4" s="12" t="str">
        <x:v>进入模型的方式</x:v>
      </x:c>
      <x:c r="E4" s="92"/>
      <x:c r="F4" s="12" t="str">
        <x:v>期初AI资产形成年度</x:v>
      </x:c>
      <x:c r="G4" s="12" t="str">
        <x:v>2022年初仍在役净投资</x:v>
      </x:c>
      <x:c r="H4" s="12" t="str">
        <x:v>单位/作用</x:v>
      </x:c>
    </x:row>
    <x:row r="5" ht="15" hidden="0" customHeight="1">
      <x:c r="A5" s="16" t="str">
        <x:v>北美大厂资本开支AI用途占比</x:v>
      </x:c>
      <x:c r="B5" s="20" t="n">
        <x:v>0.85</x:v>
      </x:c>
      <x:c r="C5" s="16" t="str">
        <x:v>%</x:v>
      </x:c>
      <x:c r="D5" s="16" t="str">
        <x:v>相对85%基准调整北美上市大厂净AI投资</x:v>
      </x:c>
      <x:c r="E5" s="92"/>
      <x:c r="F5" s="16" t="n">
        <x:v>2018</x:v>
      </x:c>
      <x:c r="G5" s="26" t="n">
        <x:v>200</x:v>
      </x:c>
      <x:c r="H5" s="16" t="str">
        <x:v>亿美元；进入预测期经济折旧</x:v>
      </x:c>
    </x:row>
    <x:row r="6" ht="15" hidden="0" customHeight="1">
      <x:c r="A6" s="16" t="str">
        <x:v>中国、新型云及其他资产估计倍率</x:v>
      </x:c>
      <x:c r="B6" s="20" t="n">
        <x:v>1</x:v>
      </x:c>
      <x:c r="C6" s="16" t="str">
        <x:v>%</x:v>
      </x:c>
      <x:c r="D6" s="16" t="str">
        <x:v>统一调整非北美大厂资产规模</x:v>
      </x:c>
      <x:c r="E6" s="92"/>
      <x:c r="F6" s="16" t="n">
        <x:v>2019</x:v>
      </x:c>
      <x:c r="G6" s="26" t="n">
        <x:v>300</x:v>
      </x:c>
      <x:c r="H6" s="16" t="str">
        <x:v>亿美元；进入预测期经济折旧</x:v>
      </x:c>
    </x:row>
    <x:row r="7" ht="15" hidden="0" customHeight="1">
      <x:c r="A7" s="16" t="str">
        <x:v>主权AI及大型项目执行率</x:v>
      </x:c>
      <x:c r="B7" s="20" t="n">
        <x:v>0.7</x:v>
      </x:c>
      <x:c r="C7" s="16" t="str">
        <x:v>%</x:v>
      </x:c>
      <x:c r="D7" s="16" t="str">
        <x:v>相对70%基准折算当年实际采购、建设和交付</x:v>
      </x:c>
      <x:c r="E7" s="92"/>
      <x:c r="F7" s="16" t="n">
        <x:v>2020</x:v>
      </x:c>
      <x:c r="G7" s="26" t="n">
        <x:v>450</x:v>
      </x:c>
      <x:c r="H7" s="16" t="str">
        <x:v>亿美元；进入预测期经济折旧</x:v>
      </x:c>
    </x:row>
    <x:row r="8" ht="15" hidden="0" customHeight="1">
      <x:c r="A8" s="16" t="str">
        <x:v>2027年以后AI加速器路径倍率</x:v>
      </x:c>
      <x:c r="B8" s="20" t="n">
        <x:v>1</x:v>
      </x:c>
      <x:c r="C8" s="16" t="str">
        <x:v>%</x:v>
      </x:c>
      <x:c r="D8" s="16" t="str">
        <x:v>逐年复合联动芯片、CoWoS、GW和净AI投资</x:v>
      </x:c>
      <x:c r="E8" s="92"/>
      <x:c r="F8" s="16" t="n">
        <x:v>2021</x:v>
      </x:c>
      <x:c r="G8" s="26" t="n">
        <x:v>700</x:v>
      </x:c>
      <x:c r="H8" s="16" t="str">
        <x:v>亿美元；进入预测期经济折旧</x:v>
      </x:c>
    </x:row>
    <x:row r="9" ht="15" hidden="0" customHeight="1">
      <x:c r="A9" s="16" t="str">
        <x:v>单颗加速器机架功耗倍率</x:v>
      </x:c>
      <x:c r="B9" s="20" t="n">
        <x:v>1</x:v>
      </x:c>
      <x:c r="C9" s="16" t="str">
        <x:v>%</x:v>
      </x:c>
      <x:c r="D9" s="16" t="str">
        <x:v>联动供配电、冷却和园区资产</x:v>
      </x:c>
      <x:c r="E9" s="92"/>
      <x:c r="F9" s="92"/>
      <x:c r="G9" s="92"/>
      <x:c r="H9" s="92"/>
    </x:row>
    <x:row r="10" ht="15" hidden="0" customHeight="1">
      <x:c r="A10" s="16" t="str">
        <x:v>2027年以后高速光模块路径倍率</x:v>
      </x:c>
      <x:c r="B10" s="20" t="n">
        <x:v>1</x:v>
      </x:c>
      <x:c r="C10" s="16" t="str">
        <x:v>%</x:v>
      </x:c>
      <x:c r="D10" s="16" t="str">
        <x:v>逐年复合联动网络资产与芯片交付校验</x:v>
      </x:c>
      <x:c r="E10" s="92"/>
      <x:c r="F10" s="92"/>
      <x:c r="G10" s="92"/>
      <x:c r="H10" s="92"/>
    </x:row>
    <x:row r="11" ht="15" hidden="0" customHeight="1">
      <x:c r="A11" s="16" t="str">
        <x:v>有效Token需求路径倍率</x:v>
      </x:c>
      <x:c r="B11" s="20" t="n">
        <x:v>1</x:v>
      </x:c>
      <x:c r="C11" s="16" t="str">
        <x:v>%</x:v>
      </x:c>
      <x:c r="D11" s="16" t="str">
        <x:v>2027E起逐年复合</x:v>
      </x:c>
      <x:c r="E11" s="92"/>
      <x:c r="F11" s="92"/>
      <x:c r="G11" s="92"/>
      <x:c r="H11" s="92"/>
    </x:row>
    <x:row r="12" ht="15" hidden="0" customHeight="1">
      <x:c r="A12" s="16" t="str">
        <x:v>2030E外部可计费Token比例</x:v>
      </x:c>
      <x:c r="B12" s="20" t="n">
        <x:v>0.5</x:v>
      </x:c>
      <x:c r="C12" s="16" t="str">
        <x:v>%</x:v>
      </x:c>
      <x:c r="D12" s="16" t="str">
        <x:v>企业内部调用不计Token收入</x:v>
      </x:c>
      <x:c r="E12" s="92"/>
      <x:c r="F12" s="92"/>
      <x:c r="G12" s="92"/>
      <x:c r="H12" s="92"/>
    </x:row>
    <x:row r="13" ht="15" hidden="0" customHeight="1">
      <x:c r="A13" s="16" t="str">
        <x:v>同路线Token价格年降幅</x:v>
      </x:c>
      <x:c r="B13" s="20" t="n">
        <x:v>0.22</x:v>
      </x:c>
      <x:c r="C13" s="16" t="str">
        <x:v>%</x:v>
      </x:c>
      <x:c r="D13" s="16" t="str">
        <x:v>在开放权重路线份额逐步提高之外，调整各路线自身价格下降速度</x:v>
      </x:c>
      <x:c r="E13" s="92"/>
      <x:c r="F13" s="92"/>
      <x:c r="G13" s="92"/>
      <x:c r="H13" s="92"/>
    </x:row>
    <x:row r="14" ht="15" hidden="0" customHeight="1">
      <x:c r="A14" s="16" t="str">
        <x:v>Token算力成本年降幅</x:v>
      </x:c>
      <x:c r="B14" s="20" t="n">
        <x:v>0.38</x:v>
      </x:c>
      <x:c r="C14" s="16" t="str">
        <x:v>%</x:v>
      </x:c>
      <x:c r="D14" s="16" t="str">
        <x:v>从2026E成本起逐年下降</x:v>
      </x:c>
      <x:c r="E14" s="92"/>
      <x:c r="F14" s="92"/>
      <x:c r="G14" s="92"/>
      <x:c r="H14" s="92"/>
    </x:row>
    <x:row r="15" ht="15" hidden="0" customHeight="1">
      <x:c r="A15" s="16" t="str">
        <x:v>2030E生产级工作流渗透率</x:v>
      </x:c>
      <x:c r="B15" s="20" t="n">
        <x:v>0.55</x:v>
      </x:c>
      <x:c r="C15" s="16" t="str">
        <x:v>%</x:v>
      </x:c>
      <x:c r="D15" s="16" t="str">
        <x:v>联动知识工作/多模态Token、应用收入和内部效率</x:v>
      </x:c>
      <x:c r="E15" s="92"/>
      <x:c r="F15" s="92"/>
      <x:c r="G15" s="92"/>
      <x:c r="H15" s="92"/>
    </x:row>
    <x:row r="16" ht="15" hidden="0" customHeight="1">
      <x:c r="A16" s="16" t="str">
        <x:v>供应链去重后收入计入率（2026E）</x:v>
      </x:c>
      <x:c r="B16" s="20" t="n">
        <x:v>0.8</x:v>
      </x:c>
      <x:c r="C16" s="16" t="str">
        <x:v>%</x:v>
      </x:c>
      <x:c r="D16" s="16" t="str">
        <x:v>相对基准终端占比平移</x:v>
      </x:c>
      <x:c r="E16" s="92"/>
      <x:c r="F16" s="92"/>
      <x:c r="G16" s="92"/>
      <x:c r="H16" s="92"/>
    </x:row>
    <x:row r="17" ht="15" hidden="0" customHeight="1">
      <x:c r="A17" s="16" t="str">
        <x:v>2026E AI产业贡献毛利率锚点</x:v>
      </x:c>
      <x:c r="B17" s="109" t="n">
        <x:v>0.5</x:v>
      </x:c>
      <x:c r="C17" s="16" t="str">
        <x:v>%</x:v>
      </x:c>
      <x:c r="D17" s="16" t="str">
        <x:v>六类业务分别测算后统一平移类别毛利率；Token成本变化仅作用于模型/API与云AI类别</x:v>
      </x:c>
      <x:c r="E17" s="92"/>
      <x:c r="F17" s="92"/>
      <x:c r="G17" s="92"/>
      <x:c r="H17" s="92"/>
    </x:row>
    <x:row r="18" ht="15" hidden="0" customHeight="1">
      <x:c r="A18" s="16" t="str">
        <x:v>企业内部效率价值兑现率</x:v>
      </x:c>
      <x:c r="B18" s="20" t="n">
        <x:v>0.5</x:v>
      </x:c>
      <x:c r="C18" s="16" t="str">
        <x:v>%</x:v>
      </x:c>
      <x:c r="D18" s="16" t="str">
        <x:v>潜在成本节省进入可计量经营结果的比例</x:v>
      </x:c>
      <x:c r="E18" s="92"/>
      <x:c r="F18" s="92"/>
      <x:c r="G18" s="92"/>
      <x:c r="H18" s="92"/>
    </x:row>
    <x:row r="19" ht="15" hidden="0" customHeight="1">
      <x:c r="A19" s="16" t="str">
        <x:v>GPU与网络经济寿命</x:v>
      </x:c>
      <x:c r="B19" s="22" t="n">
        <x:v>4.5</x:v>
      </x:c>
      <x:c r="C19" s="16" t="str">
        <x:v>年</x:v>
      </x:c>
      <x:c r="D19" s="16" t="str">
        <x:v>决定硬件/网络经济折旧</x:v>
      </x:c>
      <x:c r="E19" s="92"/>
      <x:c r="F19" s="92"/>
      <x:c r="G19" s="92"/>
      <x:c r="H19" s="92"/>
    </x:row>
    <x:row r="20" ht="15" hidden="0" customHeight="1">
      <x:c r="A20" s="16" t="str">
        <x:v>硬件与网络资产占比</x:v>
      </x:c>
      <x:c r="B20" s="20" t="n">
        <x:v>0.6</x:v>
      </x:c>
      <x:c r="C20" s="16" t="str">
        <x:v>%</x:v>
      </x:c>
      <x:c r="D20" s="16" t="str">
        <x:v>与机房/电力资产合计100%</x:v>
      </x:c>
      <x:c r="E20" s="92"/>
      <x:c r="F20" s="92"/>
      <x:c r="G20" s="92"/>
      <x:c r="H20" s="92"/>
    </x:row>
    <x:row r="21" ht="15" hidden="0" customHeight="1">
      <x:c r="A21" s="16" t="str">
        <x:v>硬件与网络残值率</x:v>
      </x:c>
      <x:c r="B21" s="20" t="n">
        <x:v>0.1</x:v>
      </x:c>
      <x:c r="C21" s="16" t="str">
        <x:v>%</x:v>
      </x:c>
      <x:c r="D21" s="16" t="str">
        <x:v>经济寿命结束后的残值</x:v>
      </x:c>
      <x:c r="E21" s="92"/>
      <x:c r="F21" s="92"/>
      <x:c r="G21" s="92"/>
      <x:c r="H21" s="92"/>
    </x:row>
    <x:row r="22" ht="15" hidden="0" customHeight="1">
      <x:c r="A22" s="16" t="str">
        <x:v>机房、电力与冷却资产占比</x:v>
      </x:c>
      <x:c r="B22" s="20" t="n">
        <x:v>0.4</x:v>
      </x:c>
      <x:c r="C22" s="16" t="str">
        <x:v>%</x:v>
      </x:c>
      <x:c r="D22" s="16" t="str">
        <x:v>长寿命设施资产</x:v>
      </x:c>
      <x:c r="E22" s="92"/>
      <x:c r="F22" s="92"/>
      <x:c r="G22" s="92"/>
      <x:c r="H22" s="92"/>
    </x:row>
    <x:row r="23" ht="15" hidden="0" customHeight="1">
      <x:c r="A23" s="16" t="str">
        <x:v>机房、电力与冷却经济寿命</x:v>
      </x:c>
      <x:c r="B23" s="22" t="n">
        <x:v>15</x:v>
      </x:c>
      <x:c r="C23" s="16" t="str">
        <x:v>年</x:v>
      </x:c>
      <x:c r="D23" s="16" t="str">
        <x:v>决定设施经济折旧</x:v>
      </x:c>
      <x:c r="E23" s="92"/>
      <x:c r="F23" s="92"/>
      <x:c r="G23" s="92"/>
      <x:c r="H23" s="92"/>
    </x:row>
    <x:row r="24" ht="15" hidden="0" customHeight="1">
      <x:c r="A24" s="16" t="str">
        <x:v>2026E效率价值外部AI费用率</x:v>
      </x:c>
      <x:c r="B24" s="20" t="n">
        <x:v>0.25</x:v>
      </x:c>
      <x:c r="C24" s="16" t="str">
        <x:v>%</x:v>
      </x:c>
      <x:c r="D24" s="16" t="str">
        <x:v>从扣费前效率价值中扣除已计入应用收入的模型、云、应用和服务费用</x:v>
      </x:c>
      <x:c r="E24" s="92"/>
      <x:c r="F24" s="92"/>
      <x:c r="G24" s="92"/>
      <x:c r="H24" s="92"/>
    </x:row>
    <x:row r="25" ht="15" hidden="0" customHeight="1">
      <x:c r="A25" s="16" t="str">
        <x:v>是否纳入嵌入式AI增量收入</x:v>
      </x:c>
      <x:c r="B25" s="24" t="n">
        <x:v>1</x:v>
      </x:c>
      <x:c r="C25" s="16" t="str">
        <x:v>0/1</x:v>
      </x:c>
      <x:c r="D25" s="16" t="str">
        <x:v>1=纳入；0=关闭2026E以后广告、搜索、推荐等可归因增量</x:v>
      </x:c>
      <x:c r="E25" s="92"/>
      <x:c r="F25" s="92"/>
      <x:c r="G25" s="92"/>
      <x:c r="H25" s="92"/>
    </x:row>
    <x:row r="26" ht="15" hidden="0" customHeight="1">
      <x:c r="A26" s="92"/>
      <x:c r="B26" s="92"/>
      <x:c r="C26" s="92"/>
      <x:c r="D26" s="92"/>
      <x:c r="E26" s="92"/>
      <x:c r="F26" s="92"/>
      <x:c r="G26" s="92"/>
      <x:c r="H26" s="92"/>
    </x:row>
    <x:row r="27" ht="15" hidden="0" customHeight="1">
      <x:c r="A27" s="92"/>
      <x:c r="B27" s="92"/>
      <x:c r="C27" s="92"/>
      <x:c r="D27" s="92"/>
      <x:c r="E27" s="92"/>
      <x:c r="F27" s="92"/>
      <x:c r="G27" s="92"/>
      <x:c r="H27" s="92"/>
    </x:row>
    <x:row r="28" ht="15" hidden="0" customHeight="1">
      <x:c r="A28" s="29" t="str">
        <x:v>研究判断：资料用于校准，不替代统一模型</x:v>
      </x:c>
      <x:c r="B28" s="29" t="str">
        <x:v>研究判断：资料用于校准，不替代统一模型</x:v>
      </x:c>
      <x:c r="C28" s="29" t="str">
        <x:v>研究判断：资料用于校准，不替代统一模型</x:v>
      </x:c>
      <x:c r="D28" s="29" t="str">
        <x:v>研究判断：资料用于校准，不替代统一模型</x:v>
      </x:c>
      <x:c r="E28" s="29" t="str">
        <x:v>研究判断：资料用于校准，不替代统一模型</x:v>
      </x:c>
      <x:c r="F28" s="29" t="str">
        <x:v>研究判断：资料用于校准，不替代统一模型</x:v>
      </x:c>
      <x:c r="G28" s="29" t="str">
        <x:v>研究判断：资料用于校准，不替代统一模型</x:v>
      </x:c>
      <x:c r="H28" s="29" t="str">
        <x:v>研究判断：资料用于校准，不替代统一模型</x:v>
      </x:c>
    </x:row>
    <x:row r="29" ht="44" hidden="0" customHeight="1">
      <x:c r="A29" s="100" t="str">
        <x:v>1</x:v>
      </x:c>
      <x:c r="B29" s="101" t="str">
        <x:v>Token口径</x:v>
      </x:c>
      <x:c r="C29" s="101" t="str">
        <x:v>高盛全球处理Token作为审慎下沿；摩根大通中国有效Token用于校准智能体循环、上下文和多模态强度；不直接相加。</x:v>
      </x:c>
      <x:c r="D29" s="101" t="str"/>
      <x:c r="E29" s="101" t="str"/>
      <x:c r="F29" s="101" t="str"/>
      <x:c r="G29" s="101" t="str"/>
      <x:c r="H29" s="101" t="str"/>
    </x:row>
    <x:row r="30" ht="44" hidden="0" customHeight="1">
      <x:c r="A30" s="100" t="str">
        <x:v>2</x:v>
      </x:c>
      <x:c r="B30" s="101" t="str">
        <x:v>本研究路径</x:v>
      </x:c>
      <x:c r="C30" s="101" t="str">
        <x:v>算力等价有效Token只有外部可计费部分乘价格形成Token收入，并强制小于或等于模型/API与云AI收入之和。</x:v>
      </x:c>
      <x:c r="D30" s="101" t="str"/>
      <x:c r="E30" s="101" t="str"/>
      <x:c r="F30" s="101" t="str"/>
      <x:c r="G30" s="101" t="str"/>
      <x:c r="H30" s="101" t="str"/>
    </x:row>
    <x:row r="31" ht="44" hidden="0" customHeight="1">
      <x:c r="A31" s="100" t="str">
        <x:v>3</x:v>
      </x:c>
      <x:c r="B31" s="101" t="str">
        <x:v>工作流采用</x:v>
      </x:c>
      <x:c r="C31" s="101" t="str">
        <x:v>高盛任务成本只作为2026年当前经济性锚点；八类场景的生产级渗透由本研究预测，并联动Token、收入和内部效率。</x:v>
      </x:c>
      <x:c r="D31" s="101" t="str"/>
      <x:c r="E31" s="101" t="str"/>
      <x:c r="F31" s="101" t="str"/>
      <x:c r="G31" s="101" t="str"/>
      <x:c r="H31" s="101" t="str"/>
    </x:row>
    <x:row r="32" ht="44" hidden="0" customHeight="1">
      <x:c r="A32" s="100" t="str">
        <x:v>4</x:v>
      </x:c>
      <x:c r="B32" s="101" t="str">
        <x:v>内部效率</x:v>
      </x:c>
      <x:c r="C32" s="101" t="str">
        <x:v>企业内部调用不伪装成收入；已兑现成本节省扣除的外部AI费用还受同年供应商终端收入池约束。</x:v>
      </x:c>
      <x:c r="D32" s="101" t="str"/>
      <x:c r="E32" s="101" t="str"/>
      <x:c r="F32" s="101" t="str"/>
      <x:c r="G32" s="101" t="str"/>
      <x:c r="H32" s="101" t="str"/>
    </x:row>
    <x:row r="33" ht="44" hidden="0" customHeight="1">
      <x:c r="A33" s="100" t="str">
        <x:v>5</x:v>
      </x:c>
      <x:c r="B33" s="101" t="str">
        <x:v>资本回收</x:v>
      </x:c>
      <x:c r="C33" s="101" t="str">
        <x:v>同年收入/投资用于看产业收敛；应用毛利/AI资产经济折旧纳入2018—2021年期初资产池，观察资本消耗能否被覆盖。</x:v>
      </x:c>
      <x:c r="D33" s="101" t="str"/>
      <x:c r="E33" s="101" t="str"/>
      <x:c r="F33" s="101" t="str"/>
      <x:c r="G33" s="101" t="str"/>
      <x:c r="H33" s="101" t="str"/>
    </x:row>
  </x:sheetData>
  <x:mergeCells>
    <x:mergeCell ref="A1:H1"/>
    <x:mergeCell ref="A2:H2"/>
    <x:mergeCell ref="A28:H28"/>
    <x:mergeCell ref="C29:H29"/>
    <x:mergeCell ref="C30:H30"/>
    <x:mergeCell ref="C31:H31"/>
    <x:mergeCell ref="C32:H32"/>
    <x:mergeCell ref="C33:H3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3" max="13" width="0.5" hidden="0" customWidth="1"/>
    <x:col min="14" max="14" width="0.5" hidden="0" customWidth="1"/>
    <x:col min="15" max="15" width="0.5" hidden="0" customWidth="1"/>
    <x:col min="16" max="16" width="0.5" hidden="0" customWidth="1"/>
    <x:col min="17" max="17" width="0.5" hidden="0" customWidth="1"/>
    <x:col min="18" max="18" width="0.5" hidden="0" customWidth="1"/>
    <x:col min="1" max="1" width="28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3" hidden="0" customWidth="1"/>
  </x:cols>
  <x:sheetData>
    <x:row r="1" ht="21.600000381469727" hidden="0" customHeight="1">
      <x:c r="A1" s="3" t="str">
        <x:v>AI基建投资｜当前情景与可编辑基准路径</x:v>
      </x:c>
      <x:c r="B1" s="3" t="str">
        <x:v>AI基建投资｜当前情景与可编辑基准路径</x:v>
      </x:c>
      <x:c r="C1" s="3" t="str">
        <x:v>AI基建投资｜当前情景与可编辑基准路径</x:v>
      </x:c>
      <x:c r="D1" s="3" t="str">
        <x:v>AI基建投资｜当前情景与可编辑基准路径</x:v>
      </x:c>
      <x:c r="E1" s="3" t="str">
        <x:v>AI基建投资｜当前情景与可编辑基准路径</x:v>
      </x:c>
      <x:c r="F1" s="3" t="str">
        <x:v>AI基建投资｜当前情景与可编辑基准路径</x:v>
      </x:c>
      <x:c r="G1" s="3" t="str">
        <x:v>AI基建投资｜当前情景与可编辑基准路径</x:v>
      </x:c>
      <x:c r="H1" s="3" t="str">
        <x:v>AI基建投资｜当前情景与可编辑基准路径</x:v>
      </x:c>
      <x:c r="I1" s="3" t="str">
        <x:v>AI基建投资｜当前情景与可编辑基准路径</x:v>
      </x:c>
      <x:c r="J1" s="3" t="str">
        <x:v>AI基建投资｜当前情景与可编辑基准路径</x:v>
      </x:c>
      <x:c r="K1" s="3" t="str">
        <x:v>AI基建投资｜当前情景与可编辑基准路径</x:v>
      </x:c>
      <x:c r="L1" s="92"/>
      <x:c r="M1" s="92"/>
      <x:c r="N1" s="92"/>
      <x:c r="O1" s="92"/>
      <x:c r="P1" s="92"/>
      <x:c r="Q1" s="92"/>
      <x:c r="R1" s="92"/>
    </x:row>
    <x:row r="2" ht="15" hidden="0" customHeight="1">
      <x:c r="A2" s="7" t="str">
        <x:v>当前情景 = 基准路径 × 资产主体/项目执行参数 × 2027年后芯片、功耗与互联联动。基准路径与网页2026-08-18版本一致；金额为亿美元。</x:v>
      </x:c>
      <x:c r="B2" s="7" t="str">
        <x:v>当前情景 = 基准路径 × 资产主体/项目执行参数 × 2027年后芯片、功耗与互联联动。基准路径与网页2026-08-18版本一致；金额为亿美元。</x:v>
      </x:c>
      <x:c r="C2" s="7" t="str">
        <x:v>当前情景 = 基准路径 × 资产主体/项目执行参数 × 2027年后芯片、功耗与互联联动。基准路径与网页2026-08-18版本一致；金额为亿美元。</x:v>
      </x:c>
      <x:c r="D2" s="7" t="str">
        <x:v>当前情景 = 基准路径 × 资产主体/项目执行参数 × 2027年后芯片、功耗与互联联动。基准路径与网页2026-08-18版本一致；金额为亿美元。</x:v>
      </x:c>
      <x:c r="E2" s="7" t="str">
        <x:v>当前情景 = 基准路径 × 资产主体/项目执行参数 × 2027年后芯片、功耗与互联联动。基准路径与网页2026-08-18版本一致；金额为亿美元。</x:v>
      </x:c>
      <x:c r="F2" s="7" t="str">
        <x:v>当前情景 = 基准路径 × 资产主体/项目执行参数 × 2027年后芯片、功耗与互联联动。基准路径与网页2026-08-18版本一致；金额为亿美元。</x:v>
      </x:c>
      <x:c r="G2" s="7" t="str">
        <x:v>当前情景 = 基准路径 × 资产主体/项目执行参数 × 2027年后芯片、功耗与互联联动。基准路径与网页2026-08-18版本一致；金额为亿美元。</x:v>
      </x:c>
      <x:c r="H2" s="7" t="str">
        <x:v>当前情景 = 基准路径 × 资产主体/项目执行参数 × 2027年后芯片、功耗与互联联动。基准路径与网页2026-08-18版本一致；金额为亿美元。</x:v>
      </x:c>
      <x:c r="I2" s="7" t="str">
        <x:v>当前情景 = 基准路径 × 资产主体/项目执行参数 × 2027年后芯片、功耗与互联联动。基准路径与网页2026-08-18版本一致；金额为亿美元。</x:v>
      </x:c>
      <x:c r="J2" s="7" t="str">
        <x:v>当前情景 = 基准路径 × 资产主体/项目执行参数 × 2027年后芯片、功耗与互联联动。基准路径与网页2026-08-18版本一致；金额为亿美元。</x:v>
      </x:c>
      <x:c r="K2" s="7" t="str">
        <x:v>当前情景 = 基准路径 × 资产主体/项目执行参数 × 2027年后芯片、功耗与互联联动。基准路径与网页2026-08-18版本一致；金额为亿美元。</x:v>
      </x:c>
      <x:c r="L2" s="92"/>
      <x:c r="M2" s="92"/>
      <x:c r="N2" s="92"/>
      <x:c r="O2" s="92"/>
      <x:c r="P2" s="92"/>
      <x:c r="Q2" s="92"/>
      <x:c r="R2" s="92"/>
    </x:row>
    <x:row r="3" ht="15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  <x:c r="K3" s="92"/>
      <x:c r="L3" s="92"/>
      <x:c r="M3" s="92"/>
      <x:c r="N3" s="92"/>
      <x:c r="O3" s="92"/>
      <x:c r="P3" s="92"/>
      <x:c r="Q3" s="92"/>
      <x:c r="R3" s="92"/>
    </x:row>
    <x:row r="4" ht="15" hidden="0" customHeight="1">
      <x:c r="A4" s="12" t="str">
        <x:v>分类</x:v>
      </x:c>
      <x:c r="B4" s="12" t="str">
        <x:v>2022A</x:v>
      </x:c>
      <x:c r="C4" s="12" t="str">
        <x:v>2023A</x:v>
      </x:c>
      <x:c r="D4" s="12" t="str">
        <x:v>2024A</x:v>
      </x:c>
      <x:c r="E4" s="12" t="str">
        <x:v>2025A</x:v>
      </x:c>
      <x:c r="F4" s="12" t="str">
        <x:v>2026E</x:v>
      </x:c>
      <x:c r="G4" s="12" t="str">
        <x:v>2027E</x:v>
      </x:c>
      <x:c r="H4" s="12" t="str">
        <x:v>2028E</x:v>
      </x:c>
      <x:c r="I4" s="12" t="str">
        <x:v>2029E</x:v>
      </x:c>
      <x:c r="J4" s="12" t="str">
        <x:v>2030E</x:v>
      </x:c>
      <x:c r="K4" s="12" t="str">
        <x:v>2026E情景系数</x:v>
      </x:c>
      <x:c r="L4" s="92"/>
      <x:c r="M4" s="95" t="str">
        <x:v>年份</x:v>
      </x:c>
      <x:c r="N4" s="95" t="str">
        <x:v>北美大厂（含SpaceX/xAI）</x:v>
      </x:c>
      <x:c r="O4" s="95" t="str">
        <x:v>中国大厂/云/电信</x:v>
      </x:c>
      <x:c r="P4" s="95" t="str">
        <x:v>Neocloud</x:v>
      </x:c>
      <x:c r="Q4" s="95" t="str">
        <x:v>主权AI/项目</x:v>
      </x:c>
      <x:c r="R4" s="95" t="str">
        <x:v>其他IDC/企业</x:v>
      </x:c>
    </x:row>
    <x:row r="5" ht="15" hidden="0" customHeight="1">
      <x:c r="A5" s="16" t="str">
        <x:v>北美大厂（含SpaceX/xAI）</x:v>
      </x:c>
      <x:c r="B5" s="40" t="n">
        <x:f>B17*IF(2022&lt;2026,1,'模型参数'!$B$5/85%)*1</x:f>
        <x:v>750</x:v>
      </x:c>
      <x:c r="C5" s="40" t="n">
        <x:f>C17*IF(2023&lt;2026,1,'模型参数'!$B$5/85%)*1</x:f>
        <x:v>1000</x:v>
      </x:c>
      <x:c r="D5" s="40" t="n">
        <x:f>D17*IF(2024&lt;2026,1,'模型参数'!$B$5/85%)*1</x:f>
        <x:v>1500</x:v>
      </x:c>
      <x:c r="E5" s="40" t="n">
        <x:f>E17*IF(2025&lt;2026,1,'模型参数'!$B$5/85%)*1</x:f>
        <x:v>3450</x:v>
      </x:c>
      <x:c r="F5" s="40" t="n">
        <x:f>F17*IF(2026&lt;2026,1,'模型参数'!$B$5/85%)*1</x:f>
        <x:v>7218.5</x:v>
      </x:c>
      <x:c r="G5" s="40" t="n">
        <x:f>G17*IF(2027&lt;2026,1,'模型参数'!$B$5/85%)*POWER('模型参数'!$B$8,1*0.55)*POWER('模型参数'!$B$9,0.35)*POWER('模型参数'!$B$10,1*0.12)</x:f>
        <x:v>11353.475267603917</x:v>
      </x:c>
      <x:c r="H5" s="40" t="n">
        <x:f>H17*IF(2028&lt;2026,1,'模型参数'!$B$5/85%)*POWER('模型参数'!$B$8,2*0.55)*POWER('模型参数'!$B$9,0.35)*POWER('模型参数'!$B$10,2*0.12)</x:f>
        <x:v>13815.368145567872</x:v>
      </x:c>
      <x:c r="I5" s="40" t="n">
        <x:f>I17*IF(2029&lt;2026,1,'模型参数'!$B$5/85%)*POWER('模型参数'!$B$8,3*0.55)*POWER('模型参数'!$B$9,0.35)*POWER('模型参数'!$B$10,3*0.12)</x:f>
        <x:v>16347.371563225537</x:v>
      </x:c>
      <x:c r="J5" s="40" t="n">
        <x:f>J17*IF(2030&lt;2026,1,'模型参数'!$B$5/85%)*POWER('模型参数'!$B$8,4*0.55)*POWER('模型参数'!$B$9,0.35)*POWER('模型参数'!$B$10,4*0.12)</x:f>
        <x:v>18353.792194927286</x:v>
      </x:c>
      <x:c r="K5" s="42" t="n">
        <x:f>'模型参数'!B5/85%</x:f>
        <x:v>1</x:v>
      </x:c>
      <x:c r="L5" s="92"/>
      <x:c r="M5" s="95" t="n">
        <x:v>2022</x:v>
      </x:c>
      <x:c r="N5" s="95" t="n">
        <x:f>B5</x:f>
        <x:v>750</x:v>
      </x:c>
      <x:c r="O5" s="95" t="n">
        <x:f>B6</x:f>
        <x:v>120</x:v>
      </x:c>
      <x:c r="P5" s="95" t="n">
        <x:f>B7</x:f>
        <x:v>20</x:v>
      </x:c>
      <x:c r="Q5" s="95" t="n">
        <x:f>B8</x:f>
        <x:v>10</x:v>
      </x:c>
      <x:c r="R5" s="95" t="n">
        <x:f>B9</x:f>
        <x:v>50</x:v>
      </x:c>
    </x:row>
    <x:row r="6" ht="15" hidden="0" customHeight="1">
      <x:c r="A6" s="16" t="str">
        <x:v>中国大厂/云/电信</x:v>
      </x:c>
      <x:c r="B6" s="40" t="n">
        <x:f>B18*IF(2022&lt;2026,1,'模型参数'!$B$6)*1</x:f>
        <x:v>120</x:v>
      </x:c>
      <x:c r="C6" s="40" t="n">
        <x:f>C18*IF(2023&lt;2026,1,'模型参数'!$B$6)*1</x:f>
        <x:v>180</x:v>
      </x:c>
      <x:c r="D6" s="40" t="n">
        <x:f>D18*IF(2024&lt;2026,1,'模型参数'!$B$6)*1</x:f>
        <x:v>350</x:v>
      </x:c>
      <x:c r="E6" s="40" t="n">
        <x:f>E18*IF(2025&lt;2026,1,'模型参数'!$B$6)*1</x:f>
        <x:v>650</x:v>
      </x:c>
      <x:c r="F6" s="40" t="n">
        <x:f>F18*IF(2026&lt;2026,1,'模型参数'!$B$6)*1</x:f>
        <x:v>774.6478873239437</x:v>
      </x:c>
      <x:c r="G6" s="40" t="n">
        <x:f>G18*IF(2027&lt;2026,1,'模型参数'!$B$6)*POWER('模型参数'!$B$8,1*0.55)*POWER('模型参数'!$B$9,0.35)*POWER('模型参数'!$B$10,1*0.12)</x:f>
        <x:v>2147.4744038759823</x:v>
      </x:c>
      <x:c r="H6" s="40" t="n">
        <x:f>H18*IF(2028&lt;2026,1,'模型参数'!$B$6)*POWER('模型参数'!$B$8,2*0.55)*POWER('模型参数'!$B$9,0.35)*POWER('模型参数'!$B$10,2*0.12)</x:f>
        <x:v>3508.510420446346</x:v>
      </x:c>
      <x:c r="I6" s="40" t="n">
        <x:f>I18*IF(2029&lt;2026,1,'模型参数'!$B$6)*POWER('模型参数'!$B$8,3*0.55)*POWER('模型参数'!$B$9,0.35)*POWER('模型参数'!$B$10,3*0.12)</x:f>
        <x:v>4652.577385997713</x:v>
      </x:c>
      <x:c r="J6" s="40" t="n">
        <x:f>J18*IF(2030&lt;2026,1,'模型参数'!$B$6)*POWER('模型参数'!$B$8,4*0.55)*POWER('模型参数'!$B$9,0.35)*POWER('模型参数'!$B$10,4*0.12)</x:f>
        <x:v>5698.493308781607</x:v>
      </x:c>
      <x:c r="K6" s="42" t="n">
        <x:f>'模型参数'!B6</x:f>
        <x:v>1</x:v>
      </x:c>
      <x:c r="L6" s="92"/>
      <x:c r="M6" s="95" t="n">
        <x:v>2023</x:v>
      </x:c>
      <x:c r="N6" s="95" t="n">
        <x:f>C5</x:f>
        <x:v>1000</x:v>
      </x:c>
      <x:c r="O6" s="95" t="n">
        <x:f>C6</x:f>
        <x:v>180</x:v>
      </x:c>
      <x:c r="P6" s="95" t="n">
        <x:f>C7</x:f>
        <x:v>40</x:v>
      </x:c>
      <x:c r="Q6" s="95" t="n">
        <x:f>C8</x:f>
        <x:v>20</x:v>
      </x:c>
      <x:c r="R6" s="95" t="n">
        <x:f>C9</x:f>
        <x:v>70</x:v>
      </x:c>
    </x:row>
    <x:row r="7" ht="15" hidden="0" customHeight="1">
      <x:c r="A7" s="16" t="str">
        <x:v>新型云厂商</x:v>
      </x:c>
      <x:c r="B7" s="40" t="n">
        <x:f>B19*IF(2022&lt;2026,1,'模型参数'!$B$6)*1</x:f>
        <x:v>20</x:v>
      </x:c>
      <x:c r="C7" s="40" t="n">
        <x:f>C19*IF(2023&lt;2026,1,'模型参数'!$B$6)*1</x:f>
        <x:v>40</x:v>
      </x:c>
      <x:c r="D7" s="40" t="n">
        <x:f>D19*IF(2024&lt;2026,1,'模型参数'!$B$6)*1</x:f>
        <x:v>120</x:v>
      </x:c>
      <x:c r="E7" s="40" t="n">
        <x:f>E19*IF(2025&lt;2026,1,'模型参数'!$B$6)*1</x:f>
        <x:v>420</x:v>
      </x:c>
      <x:c r="F7" s="40" t="n">
        <x:f>F19*IF(2026&lt;2026,1,'模型参数'!$B$6)*1</x:f>
        <x:v>725.5</x:v>
      </x:c>
      <x:c r="G7" s="40" t="n">
        <x:f>G19*IF(2027&lt;2026,1,'模型参数'!$B$6)*POWER('模型参数'!$B$8,1*0.55)*POWER('模型参数'!$B$9,0.35)*POWER('模型参数'!$B$10,1*0.12)</x:f>
        <x:v>1106.1748028085376</x:v>
      </x:c>
      <x:c r="H7" s="40" t="n">
        <x:f>H19*IF(2028&lt;2026,1,'模型参数'!$B$6)*POWER('模型参数'!$B$8,2*0.55)*POWER('模型参数'!$B$9,0.35)*POWER('模型参数'!$B$10,2*0.12)</x:f>
        <x:v>1682.6132421844272</x:v>
      </x:c>
      <x:c r="I7" s="40" t="n">
        <x:f>I19*IF(2029&lt;2026,1,'模型参数'!$B$6)*POWER('模型参数'!$B$8,3*0.55)*POWER('模型参数'!$B$9,0.35)*POWER('模型参数'!$B$10,3*0.12)</x:f>
        <x:v>2093.9755942495685</x:v>
      </x:c>
      <x:c r="J7" s="40" t="n">
        <x:f>J19*IF(2030&lt;2026,1,'模型参数'!$B$6)*POWER('模型参数'!$B$8,4*0.55)*POWER('模型参数'!$B$9,0.35)*POWER('模型参数'!$B$10,4*0.12)</x:f>
        <x:v>2457.8458814335872</x:v>
      </x:c>
      <x:c r="K7" s="42" t="n">
        <x:f>'模型参数'!B6</x:f>
        <x:v>1</x:v>
      </x:c>
      <x:c r="L7" s="92"/>
      <x:c r="M7" s="95" t="n">
        <x:v>2024</x:v>
      </x:c>
      <x:c r="N7" s="95" t="n">
        <x:f>D5</x:f>
        <x:v>1500</x:v>
      </x:c>
      <x:c r="O7" s="95" t="n">
        <x:f>D6</x:f>
        <x:v>350</x:v>
      </x:c>
      <x:c r="P7" s="95" t="n">
        <x:f>D7</x:f>
        <x:v>120</x:v>
      </x:c>
      <x:c r="Q7" s="95" t="n">
        <x:f>D8</x:f>
        <x:v>80</x:v>
      </x:c>
      <x:c r="R7" s="95" t="n">
        <x:f>D9</x:f>
        <x:v>150</x:v>
      </x:c>
    </x:row>
    <x:row r="8" ht="15" hidden="0" customHeight="1">
      <x:c r="A8" s="16" t="str">
        <x:v>主权AI/项目</x:v>
      </x:c>
      <x:c r="B8" s="40" t="n">
        <x:f>B20*IF(2022&lt;2026,1,'模型参数'!$B$6*'模型参数'!$B$7/70%)*1</x:f>
        <x:v>10</x:v>
      </x:c>
      <x:c r="C8" s="40" t="n">
        <x:f>C20*IF(2023&lt;2026,1,'模型参数'!$B$6*'模型参数'!$B$7/70%)*1</x:f>
        <x:v>20</x:v>
      </x:c>
      <x:c r="D8" s="40" t="n">
        <x:f>D20*IF(2024&lt;2026,1,'模型参数'!$B$6*'模型参数'!$B$7/70%)*1</x:f>
        <x:v>80</x:v>
      </x:c>
      <x:c r="E8" s="40" t="n">
        <x:f>E20*IF(2025&lt;2026,1,'模型参数'!$B$6*'模型参数'!$B$7/70%)*1</x:f>
        <x:v>180</x:v>
      </x:c>
      <x:c r="F8" s="40" t="n">
        <x:f>F20*IF(2026&lt;2026,1,'模型参数'!$B$6*'模型参数'!$B$7/70%)*1</x:f>
        <x:v>175.25000000000003</x:v>
      </x:c>
      <x:c r="G8" s="40" t="n">
        <x:f>G20*IF(2027&lt;2026,1,'模型参数'!$B$6*'模型参数'!$B$7/70%)*POWER('模型参数'!$B$8,1*0.55)*POWER('模型参数'!$B$9,0.35)*POWER('模型参数'!$B$10,1*0.12)</x:f>
        <x:v>311.7390166196586</x:v>
      </x:c>
      <x:c r="H8" s="40" t="n">
        <x:f>H20*IF(2028&lt;2026,1,'模型参数'!$B$6*'模型参数'!$B$7/70%)*POWER('模型参数'!$B$8,2*0.55)*POWER('模型参数'!$B$9,0.35)*POWER('模型参数'!$B$10,2*0.12)</x:f>
        <x:v>544.4395065160862</x:v>
      </x:c>
      <x:c r="I8" s="40" t="n">
        <x:f>I20*IF(2029&lt;2026,1,'模型参数'!$B$6*'模型参数'!$B$7/70%)*POWER('模型参数'!$B$8,3*0.55)*POWER('模型参数'!$B$9,0.35)*POWER('模型参数'!$B$10,3*0.12)</x:f>
        <x:v>749.7403464693224</x:v>
      </x:c>
      <x:c r="J8" s="40" t="n">
        <x:f>J20*IF(2030&lt;2026,1,'模型参数'!$B$6*'模型参数'!$B$7/70%)*POWER('模型参数'!$B$8,4*0.55)*POWER('模型参数'!$B$9,0.35)*POWER('模型参数'!$B$10,4*0.12)</x:f>
        <x:v>918.2846395069371</x:v>
      </x:c>
      <x:c r="K8" s="42" t="n">
        <x:f>'模型参数'!B6*'模型参数'!B7/70%</x:f>
        <x:v>1</x:v>
      </x:c>
      <x:c r="L8" s="92"/>
      <x:c r="M8" s="95" t="n">
        <x:v>2025</x:v>
      </x:c>
      <x:c r="N8" s="95" t="n">
        <x:f>E5</x:f>
        <x:v>3450</x:v>
      </x:c>
      <x:c r="O8" s="95" t="n">
        <x:f>E6</x:f>
        <x:v>650</x:v>
      </x:c>
      <x:c r="P8" s="95" t="n">
        <x:f>E7</x:f>
        <x:v>420</x:v>
      </x:c>
      <x:c r="Q8" s="95" t="n">
        <x:f>E8</x:f>
        <x:v>180</x:v>
      </x:c>
      <x:c r="R8" s="95" t="n">
        <x:f>E9</x:f>
        <x:v>350</x:v>
      </x:c>
    </x:row>
    <x:row r="9" ht="15" hidden="0" customHeight="1">
      <x:c r="A9" s="16" t="str">
        <x:v>其他数据中心/企业</x:v>
      </x:c>
      <x:c r="B9" s="40" t="n">
        <x:f>B21*IF(2022&lt;2026,1,'模型参数'!$B$6)*1</x:f>
        <x:v>50</x:v>
      </x:c>
      <x:c r="C9" s="40" t="n">
        <x:f>C21*IF(2023&lt;2026,1,'模型参数'!$B$6)*1</x:f>
        <x:v>70</x:v>
      </x:c>
      <x:c r="D9" s="40" t="n">
        <x:f>D21*IF(2024&lt;2026,1,'模型参数'!$B$6)*1</x:f>
        <x:v>150</x:v>
      </x:c>
      <x:c r="E9" s="40" t="n">
        <x:f>E21*IF(2025&lt;2026,1,'模型参数'!$B$6)*1</x:f>
        <x:v>350</x:v>
      </x:c>
      <x:c r="F9" s="40" t="n">
        <x:f>F21*IF(2026&lt;2026,1,'模型参数'!$B$6)*1</x:f>
        <x:v>216</x:v>
      </x:c>
      <x:c r="G9" s="40" t="n">
        <x:f>G21*IF(2027&lt;2026,1,'模型参数'!$B$6)*POWER('模型参数'!$B$8,1*0.55)*POWER('模型参数'!$B$9,0.35)*POWER('模型参数'!$B$10,1*0.12)</x:f>
        <x:v>296.4030071205786</x:v>
      </x:c>
      <x:c r="H9" s="40" t="n">
        <x:f>H21*IF(2028&lt;2026,1,'模型参数'!$B$6)*POWER('模型参数'!$B$8,2*0.55)*POWER('模型参数'!$B$9,0.35)*POWER('模型参数'!$B$10,2*0.12)</x:f>
        <x:v>434.1629206573741</x:v>
      </x:c>
      <x:c r="I9" s="40" t="n">
        <x:f>I21*IF(2029&lt;2026,1,'模型参数'!$B$6)*POWER('模型参数'!$B$8,3*0.55)*POWER('模型参数'!$B$9,0.35)*POWER('模型参数'!$B$10,3*0.12)</x:f>
        <x:v>531.4488340344401</x:v>
      </x:c>
      <x:c r="J9" s="40" t="n">
        <x:f>J21*IF(2030&lt;2026,1,'模型参数'!$B$6)*POWER('模型参数'!$B$8,4*0.55)*POWER('模型参数'!$B$9,0.35)*POWER('模型参数'!$B$10,4*0.12)</x:f>
        <x:v>623.7987355303197</x:v>
      </x:c>
      <x:c r="K9" s="42" t="n">
        <x:f>'模型参数'!B6</x:f>
        <x:v>1</x:v>
      </x:c>
      <x:c r="L9" s="92"/>
      <x:c r="M9" s="95" t="n">
        <x:v>2026</x:v>
      </x:c>
      <x:c r="N9" s="95" t="n">
        <x:f>F5</x:f>
        <x:v>7218.5</x:v>
      </x:c>
      <x:c r="O9" s="95" t="n">
        <x:f>F6</x:f>
        <x:v>774.6478873239437</x:v>
      </x:c>
      <x:c r="P9" s="95" t="n">
        <x:f>F7</x:f>
        <x:v>725.5</x:v>
      </x:c>
      <x:c r="Q9" s="95" t="n">
        <x:f>F8</x:f>
        <x:v>175.25000000000003</x:v>
      </x:c>
      <x:c r="R9" s="95" t="n">
        <x:f>F9</x:f>
        <x:v>216</x:v>
      </x:c>
    </x:row>
    <x:row r="10" ht="15" hidden="0" customHeight="1">
      <x:c r="A10" s="39" t="str">
        <x:v>全球净AI基建投资</x:v>
      </x:c>
      <x:c r="B10" s="41" t="n">
        <x:f>SUM(B5:B9)</x:f>
        <x:v>950</x:v>
      </x:c>
      <x:c r="C10" s="41" t="n">
        <x:f>SUM(C5:C9)</x:f>
        <x:v>1310</x:v>
      </x:c>
      <x:c r="D10" s="41" t="n">
        <x:f>SUM(D5:D9)</x:f>
        <x:v>2200</x:v>
      </x:c>
      <x:c r="E10" s="41" t="n">
        <x:f>SUM(E5:E9)</x:f>
        <x:v>5050</x:v>
      </x:c>
      <x:c r="F10" s="41" t="n">
        <x:f>SUM(F5:F9)</x:f>
        <x:v>9109.897887323943</x:v>
      </x:c>
      <x:c r="G10" s="41" t="n">
        <x:f>SUM(G5:G9)</x:f>
        <x:v>15215.266498028674</x:v>
      </x:c>
      <x:c r="H10" s="41" t="n">
        <x:f>SUM(H5:H9)</x:f>
        <x:v>19985.094235372104</x:v>
      </x:c>
      <x:c r="I10" s="41" t="n">
        <x:f>SUM(I5:I9)</x:f>
        <x:v>24375.11372397658</x:v>
      </x:c>
      <x:c r="J10" s="41" t="n">
        <x:f>SUM(J5:J9)</x:f>
        <x:v>28052.214760179733</x:v>
      </x:c>
      <x:c r="K10" s="39"/>
      <x:c r="L10" s="92"/>
      <x:c r="M10" s="95" t="n">
        <x:v>2027</x:v>
      </x:c>
      <x:c r="N10" s="95" t="n">
        <x:f>G5</x:f>
        <x:v>11353.475267603917</x:v>
      </x:c>
      <x:c r="O10" s="95" t="n">
        <x:f>G6</x:f>
        <x:v>2147.4744038759823</x:v>
      </x:c>
      <x:c r="P10" s="95" t="n">
        <x:f>G7</x:f>
        <x:v>1106.1748028085376</x:v>
      </x:c>
      <x:c r="Q10" s="95" t="n">
        <x:f>G8</x:f>
        <x:v>311.7390166196586</x:v>
      </x:c>
      <x:c r="R10" s="95" t="n">
        <x:f>G9</x:f>
        <x:v>296.4030071205786</x:v>
      </x:c>
    </x:row>
    <x:row r="11" ht="15" hidden="0" customHeight="1">
      <x:c r="A11" s="16" t="str">
        <x:v>净AI投资同比增长率</x:v>
      </x:c>
      <x:c r="B11" s="42"/>
      <x:c r="C11" s="42" t="n">
        <x:f>C10/B10-1</x:f>
        <x:v>0.3789473684210527</x:v>
      </x:c>
      <x:c r="D11" s="42" t="n">
        <x:f>D10/C10-1</x:f>
        <x:v>0.6793893129770991</x:v>
      </x:c>
      <x:c r="E11" s="42" t="n">
        <x:f>E10/D10-1</x:f>
        <x:v>1.2954545454545454</x:v>
      </x:c>
      <x:c r="F11" s="42" t="n">
        <x:f>F10/E10-1</x:f>
        <x:v>0.8039401757077116</x:v>
      </x:c>
      <x:c r="G11" s="42" t="n">
        <x:f>G10/F10-1</x:f>
        <x:v>0.6701906746068038</x:v>
      </x:c>
      <x:c r="H11" s="42" t="n">
        <x:f>H10/G10-1</x:f>
        <x:v>0.3134895953325183</x:v>
      </x:c>
      <x:c r="I11" s="42" t="n">
        <x:f>I10/H10-1</x:f>
        <x:v>0.21966468793699634</x:v>
      </x:c>
      <x:c r="J11" s="42" t="n">
        <x:f>J10/I10-1</x:f>
        <x:v>0.15085472329863103</x:v>
      </x:c>
      <x:c r="K11" s="16"/>
      <x:c r="L11" s="92"/>
      <x:c r="M11" s="95" t="n">
        <x:v>2028</x:v>
      </x:c>
      <x:c r="N11" s="95" t="n">
        <x:f>H5</x:f>
        <x:v>13815.368145567872</x:v>
      </x:c>
      <x:c r="O11" s="95" t="n">
        <x:f>H6</x:f>
        <x:v>3508.510420446346</x:v>
      </x:c>
      <x:c r="P11" s="95" t="n">
        <x:f>H7</x:f>
        <x:v>1682.6132421844272</x:v>
      </x:c>
      <x:c r="Q11" s="95" t="n">
        <x:f>H8</x:f>
        <x:v>544.4395065160862</x:v>
      </x:c>
      <x:c r="R11" s="95" t="n">
        <x:f>H9</x:f>
        <x:v>434.1629206573741</x:v>
      </x:c>
    </x:row>
    <x:row r="12" ht="15" hidden="0" customHeight="1">
      <x:c r="A12" s="92"/>
      <x:c r="B12" s="92"/>
      <x:c r="C12" s="92"/>
      <x:c r="D12" s="92"/>
      <x:c r="E12" s="92"/>
      <x:c r="F12" s="92"/>
      <x:c r="G12" s="92"/>
      <x:c r="H12" s="92"/>
      <x:c r="I12" s="92"/>
      <x:c r="J12" s="92"/>
      <x:c r="K12" s="92"/>
      <x:c r="L12" s="92"/>
      <x:c r="M12" s="95" t="n">
        <x:v>2029</x:v>
      </x:c>
      <x:c r="N12" s="95" t="n">
        <x:f>I5</x:f>
        <x:v>16347.371563225537</x:v>
      </x:c>
      <x:c r="O12" s="95" t="n">
        <x:f>I6</x:f>
        <x:v>4652.577385997713</x:v>
      </x:c>
      <x:c r="P12" s="95" t="n">
        <x:f>I7</x:f>
        <x:v>2093.9755942495685</x:v>
      </x:c>
      <x:c r="Q12" s="95" t="n">
        <x:f>I8</x:f>
        <x:v>749.7403464693224</x:v>
      </x:c>
      <x:c r="R12" s="95" t="n">
        <x:f>I9</x:f>
        <x:v>531.4488340344401</x:v>
      </x:c>
    </x:row>
    <x:row r="13" ht="15" hidden="0" customHeight="1">
      <x:c r="A13" s="92"/>
      <x:c r="B13" s="92"/>
      <x:c r="C13" s="92"/>
      <x:c r="D13" s="92"/>
      <x:c r="E13" s="92"/>
      <x:c r="F13" s="92"/>
      <x:c r="G13" s="92"/>
      <x:c r="H13" s="92"/>
      <x:c r="I13" s="92"/>
      <x:c r="J13" s="92"/>
      <x:c r="K13" s="92"/>
      <x:c r="L13" s="92"/>
      <x:c r="M13" s="95" t="n">
        <x:v>2030</x:v>
      </x:c>
      <x:c r="N13" s="95" t="n">
        <x:f>J5</x:f>
        <x:v>18353.792194927286</x:v>
      </x:c>
      <x:c r="O13" s="95" t="n">
        <x:f>J6</x:f>
        <x:v>5698.493308781607</x:v>
      </x:c>
      <x:c r="P13" s="95" t="n">
        <x:f>J7</x:f>
        <x:v>2457.8458814335872</x:v>
      </x:c>
      <x:c r="Q13" s="95" t="n">
        <x:f>J8</x:f>
        <x:v>918.2846395069371</x:v>
      </x:c>
      <x:c r="R13" s="95" t="n">
        <x:f>J9</x:f>
        <x:v>623.7987355303197</x:v>
      </x:c>
    </x:row>
    <x:row r="14" ht="15" hidden="0" customHeight="1">
      <x:c r="A14" s="29" t="str">
        <x:v>基准路径（黄底蓝字可直接修改；单位：亿美元）</x:v>
      </x:c>
      <x:c r="B14" s="29" t="str">
        <x:v>基准路径（黄底蓝字可直接修改；单位：亿美元）</x:v>
      </x:c>
      <x:c r="C14" s="29" t="str">
        <x:v>基准路径（黄底蓝字可直接修改；单位：亿美元）</x:v>
      </x:c>
      <x:c r="D14" s="29" t="str">
        <x:v>基准路径（黄底蓝字可直接修改；单位：亿美元）</x:v>
      </x:c>
      <x:c r="E14" s="29" t="str">
        <x:v>基准路径（黄底蓝字可直接修改；单位：亿美元）</x:v>
      </x:c>
      <x:c r="F14" s="29" t="str">
        <x:v>基准路径（黄底蓝字可直接修改；单位：亿美元）</x:v>
      </x:c>
      <x:c r="G14" s="29" t="str">
        <x:v>基准路径（黄底蓝字可直接修改；单位：亿美元）</x:v>
      </x:c>
      <x:c r="H14" s="29" t="str">
        <x:v>基准路径（黄底蓝字可直接修改；单位：亿美元）</x:v>
      </x:c>
      <x:c r="I14" s="29" t="str">
        <x:v>基准路径（黄底蓝字可直接修改；单位：亿美元）</x:v>
      </x:c>
      <x:c r="J14" s="29" t="str">
        <x:v>基准路径（黄底蓝字可直接修改；单位：亿美元）</x:v>
      </x:c>
      <x:c r="K14" s="92"/>
      <x:c r="L14" s="92"/>
      <x:c r="M14" s="92"/>
      <x:c r="N14" s="92"/>
      <x:c r="O14" s="92"/>
      <x:c r="P14" s="92"/>
      <x:c r="Q14" s="92"/>
      <x:c r="R14" s="92"/>
    </x:row>
    <x:row r="15" ht="15" hidden="0" customHeight="1">
      <x:c r="A15" s="92"/>
      <x:c r="B15" s="92"/>
      <x:c r="C15" s="92"/>
      <x:c r="D15" s="92"/>
      <x:c r="E15" s="92"/>
      <x:c r="F15" s="92"/>
      <x:c r="G15" s="92"/>
      <x:c r="H15" s="92"/>
      <x:c r="I15" s="92"/>
      <x:c r="J15" s="92"/>
      <x:c r="K15" s="92"/>
      <x:c r="L15" s="92"/>
      <x:c r="M15" s="92"/>
      <x:c r="N15" s="92"/>
      <x:c r="O15" s="92"/>
      <x:c r="P15" s="92"/>
      <x:c r="Q15" s="92"/>
      <x:c r="R15" s="92"/>
    </x:row>
    <x:row r="16" ht="15" hidden="0" customHeight="1">
      <x:c r="A16" s="12" t="str">
        <x:v>分类</x:v>
      </x:c>
      <x:c r="B16" s="12" t="n">
        <x:v>2022</x:v>
      </x:c>
      <x:c r="C16" s="12" t="n">
        <x:v>2023</x:v>
      </x:c>
      <x:c r="D16" s="12" t="n">
        <x:v>2024</x:v>
      </x:c>
      <x:c r="E16" s="12" t="n">
        <x:v>2025</x:v>
      </x:c>
      <x:c r="F16" s="12" t="n">
        <x:v>2026</x:v>
      </x:c>
      <x:c r="G16" s="12" t="n">
        <x:v>2027</x:v>
      </x:c>
      <x:c r="H16" s="12" t="n">
        <x:v>2028</x:v>
      </x:c>
      <x:c r="I16" s="12" t="n">
        <x:v>2029</x:v>
      </x:c>
      <x:c r="J16" s="12" t="n">
        <x:v>2030</x:v>
      </x:c>
      <x:c r="K16" s="92"/>
      <x:c r="L16" s="92"/>
      <x:c r="M16" s="92"/>
      <x:c r="N16" s="92"/>
      <x:c r="O16" s="92"/>
      <x:c r="P16" s="92"/>
      <x:c r="Q16" s="92"/>
      <x:c r="R16" s="92"/>
    </x:row>
    <x:row r="17" ht="15" hidden="0" customHeight="1">
      <x:c r="A17" s="16" t="str">
        <x:v>北美大厂（含SpaceX/xAI）</x:v>
      </x:c>
      <x:c r="B17" s="26" t="n">
        <x:v>750</x:v>
      </x:c>
      <x:c r="C17" s="26" t="n">
        <x:v>1000</x:v>
      </x:c>
      <x:c r="D17" s="26" t="n">
        <x:v>1500</x:v>
      </x:c>
      <x:c r="E17" s="26" t="n">
        <x:v>3450</x:v>
      </x:c>
      <x:c r="F17" s="26" t="n">
        <x:v>7218.5</x:v>
      </x:c>
      <x:c r="G17" s="26" t="n">
        <x:v>11353.475267603917</x:v>
      </x:c>
      <x:c r="H17" s="26" t="n">
        <x:v>13815.368145567872</x:v>
      </x:c>
      <x:c r="I17" s="26" t="n">
        <x:v>16347.371563225537</x:v>
      </x:c>
      <x:c r="J17" s="26" t="n">
        <x:v>18353.792194927286</x:v>
      </x:c>
      <x:c r="K17" s="92"/>
      <x:c r="L17" s="92"/>
      <x:c r="M17" s="92"/>
      <x:c r="N17" s="92"/>
      <x:c r="O17" s="92"/>
      <x:c r="P17" s="92"/>
      <x:c r="Q17" s="92"/>
      <x:c r="R17" s="92"/>
    </x:row>
    <x:row r="18" ht="15" hidden="0" customHeight="1">
      <x:c r="A18" s="16" t="str">
        <x:v>中国大厂/云/电信</x:v>
      </x:c>
      <x:c r="B18" s="26" t="n">
        <x:v>120</x:v>
      </x:c>
      <x:c r="C18" s="26" t="n">
        <x:v>180</x:v>
      </x:c>
      <x:c r="D18" s="26" t="n">
        <x:v>350</x:v>
      </x:c>
      <x:c r="E18" s="26" t="n">
        <x:v>650</x:v>
      </x:c>
      <x:c r="F18" s="26" t="n">
        <x:v>774.6478873239437</x:v>
      </x:c>
      <x:c r="G18" s="26" t="n">
        <x:v>2147.4744038759823</x:v>
      </x:c>
      <x:c r="H18" s="26" t="n">
        <x:v>3508.510420446346</x:v>
      </x:c>
      <x:c r="I18" s="26" t="n">
        <x:v>4652.577385997713</x:v>
      </x:c>
      <x:c r="J18" s="26" t="n">
        <x:v>5698.493308781607</x:v>
      </x:c>
      <x:c r="K18" s="92"/>
      <x:c r="L18" s="92"/>
      <x:c r="M18" s="92"/>
      <x:c r="N18" s="92"/>
      <x:c r="O18" s="92"/>
      <x:c r="P18" s="92"/>
      <x:c r="Q18" s="92"/>
      <x:c r="R18" s="92"/>
    </x:row>
    <x:row r="19" ht="15" hidden="0" customHeight="1">
      <x:c r="A19" s="16" t="str">
        <x:v>Neocloud</x:v>
      </x:c>
      <x:c r="B19" s="26" t="n">
        <x:v>20</x:v>
      </x:c>
      <x:c r="C19" s="26" t="n">
        <x:v>40</x:v>
      </x:c>
      <x:c r="D19" s="26" t="n">
        <x:v>120</x:v>
      </x:c>
      <x:c r="E19" s="26" t="n">
        <x:v>420</x:v>
      </x:c>
      <x:c r="F19" s="26" t="n">
        <x:v>725.5</x:v>
      </x:c>
      <x:c r="G19" s="26" t="n">
        <x:v>1106.1748028085376</x:v>
      </x:c>
      <x:c r="H19" s="26" t="n">
        <x:v>1682.6132421844272</x:v>
      </x:c>
      <x:c r="I19" s="26" t="n">
        <x:v>2093.9755942495685</x:v>
      </x:c>
      <x:c r="J19" s="26" t="n">
        <x:v>2457.8458814335872</x:v>
      </x:c>
      <x:c r="K19" s="92"/>
      <x:c r="L19" s="92"/>
      <x:c r="M19" s="92"/>
      <x:c r="N19" s="92"/>
      <x:c r="O19" s="92"/>
      <x:c r="P19" s="92"/>
      <x:c r="Q19" s="92"/>
      <x:c r="R19" s="92"/>
    </x:row>
    <x:row r="20" ht="15" hidden="0" customHeight="1">
      <x:c r="A20" s="16" t="str">
        <x:v>主权AI/项目</x:v>
      </x:c>
      <x:c r="B20" s="26" t="n">
        <x:v>10</x:v>
      </x:c>
      <x:c r="C20" s="26" t="n">
        <x:v>20</x:v>
      </x:c>
      <x:c r="D20" s="26" t="n">
        <x:v>80</x:v>
      </x:c>
      <x:c r="E20" s="26" t="n">
        <x:v>180</x:v>
      </x:c>
      <x:c r="F20" s="26" t="n">
        <x:v>175.25000000000003</x:v>
      </x:c>
      <x:c r="G20" s="26" t="n">
        <x:v>311.7390166196586</x:v>
      </x:c>
      <x:c r="H20" s="26" t="n">
        <x:v>544.4395065160862</x:v>
      </x:c>
      <x:c r="I20" s="26" t="n">
        <x:v>749.7403464693224</x:v>
      </x:c>
      <x:c r="J20" s="26" t="n">
        <x:v>918.2846395069371</x:v>
      </x:c>
      <x:c r="K20" s="92"/>
      <x:c r="L20" s="92"/>
      <x:c r="M20" s="92"/>
      <x:c r="N20" s="92"/>
      <x:c r="O20" s="92"/>
      <x:c r="P20" s="92"/>
      <x:c r="Q20" s="92"/>
      <x:c r="R20" s="92"/>
    </x:row>
    <x:row r="21" ht="15" hidden="0" customHeight="1">
      <x:c r="A21" s="16" t="str">
        <x:v>其他IDC/企业</x:v>
      </x:c>
      <x:c r="B21" s="26" t="n">
        <x:v>50</x:v>
      </x:c>
      <x:c r="C21" s="26" t="n">
        <x:v>70</x:v>
      </x:c>
      <x:c r="D21" s="26" t="n">
        <x:v>150</x:v>
      </x:c>
      <x:c r="E21" s="26" t="n">
        <x:v>350</x:v>
      </x:c>
      <x:c r="F21" s="26" t="n">
        <x:v>216</x:v>
      </x:c>
      <x:c r="G21" s="26" t="n">
        <x:v>296.4030071205786</x:v>
      </x:c>
      <x:c r="H21" s="26" t="n">
        <x:v>434.1629206573741</x:v>
      </x:c>
      <x:c r="I21" s="26" t="n">
        <x:v>531.4488340344401</x:v>
      </x:c>
      <x:c r="J21" s="26" t="n">
        <x:v>623.7987355303197</x:v>
      </x:c>
      <x:c r="K21" s="92"/>
      <x:c r="L21" s="92"/>
      <x:c r="M21" s="92"/>
      <x:c r="N21" s="92"/>
      <x:c r="O21" s="92"/>
      <x:c r="P21" s="92"/>
      <x:c r="Q21" s="92"/>
      <x:c r="R21" s="92"/>
    </x:row>
  </x:sheetData>
  <x:mergeCells>
    <x:mergeCell ref="A1:K1"/>
    <x:mergeCell ref="A2:K2"/>
    <x:mergeCell ref="A14:J14"/>
  </x:mergeCells>
  <x:pageMargins left="0.7" right="0.7" top="0.75" bottom="0.75" header="0.3" footer="0.3"/>
  <x:drawing xmlns:r="http://schemas.openxmlformats.org/officeDocument/2006/relationships" r:id="R2eb0acb09ca249a2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5" max="15" width="42" hidden="0" customWidth="1"/>
    <x:col min="16" max="16" width="0.5" hidden="0" customWidth="1"/>
    <x:col min="17" max="17" width="0.5" hidden="0" customWidth="1"/>
    <x:col min="18" max="18" width="0.5" hidden="0" customWidth="1"/>
    <x:col min="19" max="19" width="0.5" hidden="0" customWidth="1"/>
    <x:col min="20" max="20" width="0.5" hidden="0" customWidth="1"/>
    <x:col min="1" max="1" width="18" hidden="0" customWidth="1"/>
    <x:col min="2" max="2" width="15" hidden="0" customWidth="1"/>
    <x:col min="3" max="3" width="30" hidden="0" customWidth="1"/>
    <x:col min="4" max="4" width="12" hidden="0" customWidth="1"/>
    <x:col min="5" max="5" width="14" hidden="0" customWidth="1"/>
    <x:col min="6" max="6" width="12" hidden="0" customWidth="1"/>
    <x:col min="7" max="7" width="16" hidden="0" customWidth="1"/>
    <x:col min="8" max="8" width="12" hidden="0" customWidth="1"/>
    <x:col min="9" max="9" width="14" hidden="0" customWidth="1"/>
    <x:col min="10" max="10" width="14" hidden="0" customWidth="1"/>
    <x:col min="11" max="11" width="14" hidden="0" customWidth="1"/>
    <x:col min="12" max="12" width="16" hidden="0" customWidth="1"/>
    <x:col min="13" max="13" width="14" hidden="0" customWidth="1"/>
    <x:col min="14" max="14" width="13" hidden="0" customWidth="1"/>
  </x:cols>
  <x:sheetData>
    <x:row r="1" ht="21.600000381469727" hidden="0" customHeight="1">
      <x:c r="A1" s="3" t="str">
        <x:v>Token量价利｜有效使用量到模型与云收入</x:v>
      </x:c>
      <x:c r="B1" s="3" t="str">
        <x:v>Token量价利｜有效使用量到模型与云收入</x:v>
      </x:c>
      <x:c r="C1" s="3" t="str">
        <x:v>Token量价利｜有效使用量到模型与云收入</x:v>
      </x:c>
      <x:c r="D1" s="3" t="str">
        <x:v>Token量价利｜有效使用量到模型与云收入</x:v>
      </x:c>
      <x:c r="E1" s="3" t="str">
        <x:v>Token量价利｜有效使用量到模型与云收入</x:v>
      </x:c>
      <x:c r="F1" s="3" t="str">
        <x:v>Token量价利｜有效使用量到模型与云收入</x:v>
      </x:c>
      <x:c r="G1" s="3" t="str">
        <x:v>Token量价利｜有效使用量到模型与云收入</x:v>
      </x:c>
      <x:c r="H1" s="92"/>
      <x:c r="I1" s="92"/>
      <x:c r="J1" s="92"/>
      <x:c r="K1" s="92"/>
      <x:c r="L1" s="92"/>
      <x:c r="M1" s="92"/>
      <x:c r="N1" s="92"/>
      <x:c r="O1" s="92"/>
      <x:c r="P1" s="92"/>
      <x:c r="Q1" s="92"/>
      <x:c r="R1" s="92"/>
      <x:c r="S1" s="92"/>
      <x:c r="T1" s="92"/>
    </x:row>
    <x:row r="2" ht="15" hidden="0" customHeight="1">
      <x:c r="A2" s="7" t="str">
        <x:v>统一顺序：原始Token → 算力等价有效Token → 外部可计费Token → 实现价格/算力成本 → 收入与毛利。金额为亿美元。</x:v>
      </x:c>
      <x:c r="B2" s="7" t="str">
        <x:v>统一顺序：原始Token → 算力等价有效Token → 外部可计费Token → 实现价格/算力成本 → 收入与毛利。金额为亿美元。</x:v>
      </x:c>
      <x:c r="C2" s="7" t="str">
        <x:v>统一顺序：原始Token → 算力等价有效Token → 外部可计费Token → 实现价格/算力成本 → 收入与毛利。金额为亿美元。</x:v>
      </x:c>
      <x:c r="D2" s="7" t="str">
        <x:v>统一顺序：原始Token → 算力等价有效Token → 外部可计费Token → 实现价格/算力成本 → 收入与毛利。金额为亿美元。</x:v>
      </x:c>
      <x:c r="E2" s="7" t="str">
        <x:v>统一顺序：原始Token → 算力等价有效Token → 外部可计费Token → 实现价格/算力成本 → 收入与毛利。金额为亿美元。</x:v>
      </x:c>
      <x:c r="F2" s="7" t="str">
        <x:v>统一顺序：原始Token → 算力等价有效Token → 外部可计费Token → 实现价格/算力成本 → 收入与毛利。金额为亿美元。</x:v>
      </x:c>
      <x:c r="G2" s="7" t="str">
        <x:v>统一顺序：原始Token → 算力等价有效Token → 外部可计费Token → 实现价格/算力成本 → 收入与毛利。金额为亿美元。</x:v>
      </x:c>
      <x:c r="H2" s="92"/>
      <x:c r="I2" s="92"/>
      <x:c r="J2" s="92"/>
      <x:c r="K2" s="92"/>
      <x:c r="L2" s="92"/>
      <x:c r="M2" s="92"/>
      <x:c r="N2" s="92"/>
      <x:c r="O2" s="92"/>
      <x:c r="P2" s="92"/>
      <x:c r="Q2" s="92"/>
      <x:c r="R2" s="92"/>
      <x:c r="S2" s="92"/>
      <x:c r="T2" s="92"/>
    </x:row>
    <x:row r="3" ht="15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  <x:c r="K3" s="92"/>
      <x:c r="L3" s="92"/>
      <x:c r="M3" s="92"/>
      <x:c r="N3" s="92"/>
      <x:c r="O3" s="92"/>
      <x:c r="P3" s="92"/>
      <x:c r="Q3" s="92"/>
      <x:c r="R3" s="92"/>
      <x:c r="S3" s="92"/>
      <x:c r="T3" s="92"/>
    </x:row>
    <x:row r="4" ht="15" hidden="0" customHeight="1">
      <x:c r="A4" s="12" t="str">
        <x:v>指标</x:v>
      </x:c>
      <x:c r="B4" s="12" t="str">
        <x:v>2026E</x:v>
      </x:c>
      <x:c r="C4" s="12" t="str">
        <x:v>2027E</x:v>
      </x:c>
      <x:c r="D4" s="12" t="str">
        <x:v>2028E</x:v>
      </x:c>
      <x:c r="E4" s="12" t="str">
        <x:v>2029E</x:v>
      </x:c>
      <x:c r="F4" s="12" t="str">
        <x:v>2030E</x:v>
      </x:c>
      <x:c r="G4" s="92"/>
      <x:c r="H4" s="92"/>
      <x:c r="I4" s="92"/>
      <x:c r="J4" s="92"/>
      <x:c r="K4" s="92"/>
      <x:c r="L4" s="92"/>
      <x:c r="M4" s="92"/>
      <x:c r="N4" s="92"/>
      <x:c r="O4" s="95" t="str">
        <x:v>年份</x:v>
      </x:c>
      <x:c r="P4" s="95" t="str">
        <x:v>对话AI</x:v>
      </x:c>
      <x:c r="Q4" s="95" t="str">
        <x:v>知识工作智能体</x:v>
      </x:c>
      <x:c r="R4" s="95" t="str">
        <x:v>生活场景智能体</x:v>
      </x:c>
      <x:c r="S4" s="95" t="str">
        <x:v>多模态AI</x:v>
      </x:c>
      <x:c r="T4" s="95" t="str">
        <x:v>有效Token合计</x:v>
      </x:c>
    </x:row>
    <x:row r="5" ht="15" hidden="0" customHeight="1">
      <x:c r="A5" s="16" t="str">
        <x:v>对话AI</x:v>
      </x:c>
      <x:c r="B5" s="45" t="n">
        <x:f>B25*'模型参数'!$B$11^0*('模型参数'!$B$15/0.55)^(0*0.15)</x:f>
        <x:v>2.4</x:v>
      </x:c>
      <x:c r="C5" s="45" t="n">
        <x:f>C25*'模型参数'!$B$11^1*('模型参数'!$B$15/0.55)^(0.25*0.15)</x:f>
        <x:v>5</x:v>
      </x:c>
      <x:c r="D5" s="45" t="n">
        <x:f>D25*'模型参数'!$B$11^2*('模型参数'!$B$15/0.55)^(0.5*0.15)</x:f>
        <x:v>9</x:v>
      </x:c>
      <x:c r="E5" s="45" t="n">
        <x:f>E25*'模型参数'!$B$11^3*('模型参数'!$B$15/0.55)^(0.75*0.15)</x:f>
        <x:v>15</x:v>
      </x:c>
      <x:c r="F5" s="45" t="n">
        <x:f>F25*'模型参数'!$B$11^4*('模型参数'!$B$15/0.55)^(1*0.15)</x:f>
        <x:v>24</x:v>
      </x:c>
      <x:c r="G5" s="92"/>
      <x:c r="H5" s="92"/>
      <x:c r="I5" s="92"/>
      <x:c r="J5" s="92"/>
      <x:c r="K5" s="92"/>
      <x:c r="L5" s="92"/>
      <x:c r="M5" s="92"/>
      <x:c r="N5" s="92"/>
      <x:c r="O5" s="95" t="n">
        <x:v>2026</x:v>
      </x:c>
      <x:c r="P5" s="95" t="n">
        <x:f>B5</x:f>
        <x:v>2.4</x:v>
      </x:c>
      <x:c r="Q5" s="95" t="n">
        <x:f>B6</x:f>
        <x:v>2.8</x:v>
      </x:c>
      <x:c r="R5" s="95" t="n">
        <x:f>B7</x:f>
        <x:v>0.8</x:v>
      </x:c>
      <x:c r="S5" s="95" t="n">
        <x:f>B8</x:f>
        <x:v>2</x:v>
      </x:c>
      <x:c r="T5" s="95" t="n">
        <x:f>B9</x:f>
        <x:v>7.999999999999999</x:v>
      </x:c>
    </x:row>
    <x:row r="6" ht="15" hidden="0" customHeight="1">
      <x:c r="A6" s="16" t="str">
        <x:v>知识工作智能体</x:v>
      </x:c>
      <x:c r="B6" s="45" t="n">
        <x:f>B26*'模型参数'!$B$11^0*('模型参数'!$B$15/0.55)^(0*0.8)</x:f>
        <x:v>2.8</x:v>
      </x:c>
      <x:c r="C6" s="45" t="n">
        <x:f>C26*'模型参数'!$B$11^1*('模型参数'!$B$15/0.55)^(0.25*0.8)</x:f>
        <x:v>10</x:v>
      </x:c>
      <x:c r="D6" s="45" t="n">
        <x:f>D26*'模型参数'!$B$11^2*('模型参数'!$B$15/0.55)^(0.5*0.8)</x:f>
        <x:v>29</x:v>
      </x:c>
      <x:c r="E6" s="45" t="n">
        <x:f>E26*'模型参数'!$B$11^3*('模型参数'!$B$15/0.55)^(0.75*0.8)</x:f>
        <x:v>66</x:v>
      </x:c>
      <x:c r="F6" s="45" t="n">
        <x:f>F26*'模型参数'!$B$11^4*('模型参数'!$B$15/0.55)^(1*0.8)</x:f>
        <x:v>108</x:v>
      </x:c>
      <x:c r="G6" s="92"/>
      <x:c r="H6" s="92"/>
      <x:c r="I6" s="92"/>
      <x:c r="J6" s="92"/>
      <x:c r="K6" s="92"/>
      <x:c r="L6" s="92"/>
      <x:c r="M6" s="92"/>
      <x:c r="N6" s="92"/>
      <x:c r="O6" s="95" t="n">
        <x:v>2027</x:v>
      </x:c>
      <x:c r="P6" s="95" t="n">
        <x:f>C5</x:f>
        <x:v>5</x:v>
      </x:c>
      <x:c r="Q6" s="95" t="n">
        <x:f>C6</x:f>
        <x:v>10</x:v>
      </x:c>
      <x:c r="R6" s="95" t="n">
        <x:f>C7</x:f>
        <x:v>3</x:v>
      </x:c>
      <x:c r="S6" s="95" t="n">
        <x:f>C8</x:f>
        <x:v>6</x:v>
      </x:c>
      <x:c r="T6" s="95" t="n">
        <x:f>C9</x:f>
        <x:v>24</x:v>
      </x:c>
    </x:row>
    <x:row r="7" ht="15" hidden="0" customHeight="1">
      <x:c r="A7" s="16" t="str">
        <x:v>生活场景智能体</x:v>
      </x:c>
      <x:c r="B7" s="45" t="n">
        <x:f>B27*'模型参数'!$B$11^0*('模型参数'!$B$15/0.55)^(0*0.05)</x:f>
        <x:v>0.8</x:v>
      </x:c>
      <x:c r="C7" s="45" t="n">
        <x:f>C27*'模型参数'!$B$11^1*('模型参数'!$B$15/0.55)^(0.25*0.05)</x:f>
        <x:v>3</x:v>
      </x:c>
      <x:c r="D7" s="45" t="n">
        <x:f>D27*'模型参数'!$B$11^2*('模型参数'!$B$15/0.55)^(0.5*0.05)</x:f>
        <x:v>10</x:v>
      </x:c>
      <x:c r="E7" s="45" t="n">
        <x:f>E27*'模型参数'!$B$11^3*('模型参数'!$B$15/0.55)^(0.75*0.05)</x:f>
        <x:v>29</x:v>
      </x:c>
      <x:c r="F7" s="45" t="n">
        <x:f>F27*'模型参数'!$B$11^4*('模型参数'!$B$15/0.55)^(1*0.05)</x:f>
        <x:v>54</x:v>
      </x:c>
      <x:c r="G7" s="92"/>
      <x:c r="H7" s="92"/>
      <x:c r="I7" s="92"/>
      <x:c r="J7" s="92"/>
      <x:c r="K7" s="92"/>
      <x:c r="L7" s="92"/>
      <x:c r="M7" s="92"/>
      <x:c r="N7" s="92"/>
      <x:c r="O7" s="95" t="n">
        <x:v>2028</x:v>
      </x:c>
      <x:c r="P7" s="95" t="n">
        <x:f>D5</x:f>
        <x:v>9</x:v>
      </x:c>
      <x:c r="Q7" s="95" t="n">
        <x:f>D6</x:f>
        <x:v>29</x:v>
      </x:c>
      <x:c r="R7" s="95" t="n">
        <x:f>D7</x:f>
        <x:v>10</x:v>
      </x:c>
      <x:c r="S7" s="95" t="n">
        <x:f>D8</x:f>
        <x:v>20</x:v>
      </x:c>
      <x:c r="T7" s="95" t="n">
        <x:f>D9</x:f>
        <x:v>68</x:v>
      </x:c>
    </x:row>
    <x:row r="8" ht="15" hidden="0" customHeight="1">
      <x:c r="A8" s="16" t="str">
        <x:v>多模态AI</x:v>
      </x:c>
      <x:c r="B8" s="45" t="n">
        <x:f>B28*'模型参数'!$B$11^0*('模型参数'!$B$15/0.55)^(0*0.45)</x:f>
        <x:v>2</x:v>
      </x:c>
      <x:c r="C8" s="45" t="n">
        <x:f>C28*'模型参数'!$B$11^1*('模型参数'!$B$15/0.55)^(0.25*0.45)</x:f>
        <x:v>6</x:v>
      </x:c>
      <x:c r="D8" s="45" t="n">
        <x:f>D28*'模型参数'!$B$11^2*('模型参数'!$B$15/0.55)^(0.5*0.45)</x:f>
        <x:v>20</x:v>
      </x:c>
      <x:c r="E8" s="45" t="n">
        <x:f>E28*'模型参数'!$B$11^3*('模型参数'!$B$15/0.55)^(0.75*0.45)</x:f>
        <x:v>48</x:v>
      </x:c>
      <x:c r="F8" s="45" t="n">
        <x:f>F28*'模型参数'!$B$11^4*('模型参数'!$B$15/0.55)^(1*0.45)</x:f>
        <x:v>114</x:v>
      </x:c>
      <x:c r="G8" s="92"/>
      <x:c r="H8" s="92"/>
      <x:c r="I8" s="92"/>
      <x:c r="J8" s="92"/>
      <x:c r="K8" s="92"/>
      <x:c r="L8" s="92"/>
      <x:c r="M8" s="92"/>
      <x:c r="N8" s="92"/>
      <x:c r="O8" s="95" t="n">
        <x:v>2029</x:v>
      </x:c>
      <x:c r="P8" s="95" t="n">
        <x:f>E5</x:f>
        <x:v>15</x:v>
      </x:c>
      <x:c r="Q8" s="95" t="n">
        <x:f>E6</x:f>
        <x:v>66</x:v>
      </x:c>
      <x:c r="R8" s="95" t="n">
        <x:f>E7</x:f>
        <x:v>29</x:v>
      </x:c>
      <x:c r="S8" s="95" t="n">
        <x:f>E8</x:f>
        <x:v>48</x:v>
      </x:c>
      <x:c r="T8" s="95" t="n">
        <x:f>E9</x:f>
        <x:v>158</x:v>
      </x:c>
    </x:row>
    <x:row r="9" ht="15" hidden="0" customHeight="1">
      <x:c r="A9" s="16" t="str">
        <x:v>有效Token合计</x:v>
      </x:c>
      <x:c r="B9" s="45" t="n">
        <x:f>SUM(B5:B8)</x:f>
        <x:v>7.999999999999999</x:v>
      </x:c>
      <x:c r="C9" s="45" t="n">
        <x:f>SUM(C5:C8)</x:f>
        <x:v>24</x:v>
      </x:c>
      <x:c r="D9" s="45" t="n">
        <x:f>SUM(D5:D8)</x:f>
        <x:v>68</x:v>
      </x:c>
      <x:c r="E9" s="45" t="n">
        <x:f>SUM(E5:E8)</x:f>
        <x:v>158</x:v>
      </x:c>
      <x:c r="F9" s="45" t="n">
        <x:f>SUM(F5:F8)</x:f>
        <x:v>300</x:v>
      </x:c>
      <x:c r="G9" s="92"/>
      <x:c r="H9" s="92"/>
      <x:c r="I9" s="92"/>
      <x:c r="J9" s="92"/>
      <x:c r="K9" s="92"/>
      <x:c r="L9" s="92"/>
      <x:c r="M9" s="92"/>
      <x:c r="N9" s="92"/>
      <x:c r="O9" s="95" t="n">
        <x:v>2030</x:v>
      </x:c>
      <x:c r="P9" s="95" t="n">
        <x:f>F5</x:f>
        <x:v>24</x:v>
      </x:c>
      <x:c r="Q9" s="95" t="n">
        <x:f>F6</x:f>
        <x:v>108</x:v>
      </x:c>
      <x:c r="R9" s="95" t="n">
        <x:f>F7</x:f>
        <x:v>54</x:v>
      </x:c>
      <x:c r="S9" s="95" t="n">
        <x:f>F8</x:f>
        <x:v>114</x:v>
      </x:c>
      <x:c r="T9" s="95" t="n">
        <x:f>F9</x:f>
        <x:v>300</x:v>
      </x:c>
    </x:row>
    <x:row r="10" ht="15" hidden="0" customHeight="1">
      <x:c r="A10" s="16" t="str">
        <x:v>外部可计费比例</x:v>
      </x:c>
      <x:c r="B10" s="42" t="n">
        <x:f>B30+('模型参数'!$B$12-0.5)*0</x:f>
        <x:v>0.32</x:v>
      </x:c>
      <x:c r="C10" s="42" t="n">
        <x:f>C30+('模型参数'!$B$12-0.5)*0.25</x:f>
        <x:v>0.37</x:v>
      </x:c>
      <x:c r="D10" s="42" t="n">
        <x:f>D30+('模型参数'!$B$12-0.5)*0.5</x:f>
        <x:v>0.42</x:v>
      </x:c>
      <x:c r="E10" s="42" t="n">
        <x:f>E30+('模型参数'!$B$12-0.5)*0.75</x:f>
        <x:v>0.46</x:v>
      </x:c>
      <x:c r="F10" s="42" t="n">
        <x:f>F30+('模型参数'!$B$12-0.5)*1</x:f>
        <x:v>0.5</x:v>
      </x:c>
      <x:c r="G10" s="92"/>
      <x:c r="H10" s="92"/>
      <x:c r="I10" s="92"/>
      <x:c r="J10" s="92"/>
      <x:c r="K10" s="92"/>
      <x:c r="L10" s="92"/>
      <x:c r="M10" s="92"/>
      <x:c r="N10" s="92"/>
      <x:c r="O10" s="95"/>
      <x:c r="P10" s="95"/>
      <x:c r="Q10" s="95"/>
      <x:c r="R10" s="95"/>
      <x:c r="S10" s="95"/>
      <x:c r="T10" s="95"/>
    </x:row>
    <x:row r="11" ht="15" hidden="0" customHeight="1">
      <x:c r="A11" s="16" t="str">
        <x:v>外部可计费Token</x:v>
      </x:c>
      <x:c r="B11" s="45" t="n">
        <x:f>B9*B10</x:f>
        <x:v>2.5599999999999996</x:v>
      </x:c>
      <x:c r="C11" s="45" t="n">
        <x:f>C9*C10</x:f>
        <x:v>8.879999999999999</x:v>
      </x:c>
      <x:c r="D11" s="45" t="n">
        <x:f>D9*D10</x:f>
        <x:v>28.56</x:v>
      </x:c>
      <x:c r="E11" s="45" t="n">
        <x:f>E9*E10</x:f>
        <x:v>72.68</x:v>
      </x:c>
      <x:c r="F11" s="45" t="n">
        <x:f>F9*F10</x:f>
        <x:v>150</x:v>
      </x:c>
      <x:c r="G11" s="92"/>
      <x:c r="H11" s="92"/>
      <x:c r="I11" s="92"/>
      <x:c r="J11" s="92"/>
      <x:c r="K11" s="92"/>
      <x:c r="L11" s="92"/>
      <x:c r="M11" s="92"/>
      <x:c r="N11" s="92"/>
      <x:c r="O11" s="95"/>
      <x:c r="P11" s="95"/>
      <x:c r="Q11" s="95"/>
      <x:c r="R11" s="95"/>
      <x:c r="S11" s="95"/>
      <x:c r="T11" s="95"/>
    </x:row>
    <x:row r="12" ht="21.600000381469727" hidden="0" customHeight="1">
      <x:c r="A12" s="16" t="str">
        <x:v>综合实现价格（美元/百万Token）</x:v>
      </x:c>
      <x:c r="B12" s="46" t="n">
        <x:f>B31*((1-'模型参数'!$B$13)/(1-0.22))^0</x:f>
        <x:v>2.4322233887291267</x:v>
      </x:c>
      <x:c r="C12" s="46" t="n">
        <x:f>C31*((1-'模型参数'!$B$13)/(1-0.22))^1</x:f>
        <x:v>1.8460974508268229</x:v>
      </x:c>
      <x:c r="D12" s="46" t="n">
        <x:f>D31*((1-'模型参数'!$B$13)/(1-0.22))^2</x:f>
        <x:v>1.4001473135870428</x:v>
      </x:c>
      <x:c r="E12" s="46" t="n">
        <x:f>E31*((1-'模型参数'!$B$13)/(1-0.22))^3</x:f>
        <x:v>1.0610641201127475</x:v>
      </x:c>
      <x:c r="F12" s="46" t="n">
        <x:f>F31*((1-'模型参数'!$B$13)/(1-0.22))^4</x:f>
        <x:v>0.8034104017895296</x:v>
      </x:c>
      <x:c r="G12" s="92"/>
      <x:c r="H12" s="92"/>
      <x:c r="I12" s="92"/>
      <x:c r="J12" s="92"/>
      <x:c r="K12" s="92"/>
      <x:c r="L12" s="92"/>
      <x:c r="M12" s="92"/>
      <x:c r="N12" s="92"/>
      <x:c r="O12" s="95" t="str">
        <x:v>年份</x:v>
      </x:c>
      <x:c r="P12" s="95" t="str">
        <x:v>Token运营收入</x:v>
      </x:c>
      <x:c r="Q12" s="95" t="str">
        <x:v>Token算力成本后贡献毛利</x:v>
      </x:c>
      <x:c r="R12" s="95"/>
      <x:c r="S12" s="95"/>
      <x:c r="T12" s="95"/>
    </x:row>
    <x:row r="13" ht="15" hidden="0" customHeight="1">
      <x:c r="A13" s="16" t="str">
        <x:v>算力成本（美元/百万Token）</x:v>
      </x:c>
      <x:c r="B13" s="46" t="n">
        <x:f>$B$32*(1-'模型参数'!$B$14)^0</x:f>
        <x:v>1.75</x:v>
      </x:c>
      <x:c r="C13" s="46" t="n">
        <x:f>$B$32*(1-'模型参数'!$B$14)^1</x:f>
        <x:v>1.085</x:v>
      </x:c>
      <x:c r="D13" s="46" t="n">
        <x:f>$B$32*(1-'模型参数'!$B$14)^2</x:f>
        <x:v>0.6727000000000001</x:v>
      </x:c>
      <x:c r="E13" s="46" t="n">
        <x:f>$B$32*(1-'模型参数'!$B$14)^3</x:f>
        <x:v>0.41707399999999994</x:v>
      </x:c>
      <x:c r="F13" s="46" t="n">
        <x:f>$B$32*(1-'模型参数'!$B$14)^4</x:f>
        <x:v>0.25858588</x:v>
      </x:c>
      <x:c r="G13" s="92"/>
      <x:c r="H13" s="92"/>
      <x:c r="I13" s="92"/>
      <x:c r="J13" s="92"/>
      <x:c r="K13" s="92"/>
      <x:c r="L13" s="92"/>
      <x:c r="M13" s="92"/>
      <x:c r="N13" s="92"/>
      <x:c r="O13" s="95" t="n">
        <x:v>2026</x:v>
      </x:c>
      <x:c r="P13" s="95" t="n">
        <x:f>B14</x:f>
        <x:v>747.1790250175876</x:v>
      </x:c>
      <x:c r="Q13" s="95" t="n">
        <x:f>B15</x:f>
        <x:v>209.5790250175877</x:v>
      </x:c>
      <x:c r="R13" s="95"/>
      <x:c r="S13" s="95"/>
      <x:c r="T13" s="95"/>
    </x:row>
    <x:row r="14" ht="15" hidden="0" customHeight="1">
      <x:c r="A14" s="16" t="str">
        <x:v>Token运营收入</x:v>
      </x:c>
      <x:c r="B14" s="40" t="n">
        <x:f>B11*B12*12*10</x:f>
        <x:v>747.1790250175876</x:v>
      </x:c>
      <x:c r="C14" s="40" t="n">
        <x:f>C11*C12*12*10</x:f>
        <x:v>1967.2014436010622</x:v>
      </x:c>
      <x:c r="D14" s="40" t="n">
        <x:f>D11*D12*12*10</x:f>
        <x:v>4798.584873125513</x:v>
      </x:c>
      <x:c r="E14" s="40" t="n">
        <x:f>E11*E12*12*10</x:f>
        <x:v>9254.176829975338</x:v>
      </x:c>
      <x:c r="F14" s="40" t="n">
        <x:f>F11*F12*12*10</x:f>
        <x:v>14461.387232211531</x:v>
      </x:c>
      <x:c r="G14" s="92"/>
      <x:c r="H14" s="92"/>
      <x:c r="I14" s="92"/>
      <x:c r="J14" s="92"/>
      <x:c r="K14" s="92"/>
      <x:c r="L14" s="92"/>
      <x:c r="M14" s="92"/>
      <x:c r="N14" s="92"/>
      <x:c r="O14" s="95" t="n">
        <x:v>2027</x:v>
      </x:c>
      <x:c r="P14" s="95" t="n">
        <x:f>C14</x:f>
        <x:v>1967.2014436010622</x:v>
      </x:c>
      <x:c r="Q14" s="95" t="n">
        <x:f>C15</x:f>
        <x:v>811.0254436010623</x:v>
      </x:c>
      <x:c r="R14" s="95"/>
      <x:c r="S14" s="95"/>
      <x:c r="T14" s="95"/>
    </x:row>
    <x:row r="15" ht="15" hidden="0" customHeight="1">
      <x:c r="A15" s="16" t="str">
        <x:v>Token算力成本后贡献毛利</x:v>
      </x:c>
      <x:c r="B15" s="40" t="n">
        <x:f>B11*MAX(0,B12-B13)*12*10</x:f>
        <x:v>209.5790250175877</x:v>
      </x:c>
      <x:c r="C15" s="40" t="n">
        <x:f>C11*MAX(0,C12-C13)*12*10</x:f>
        <x:v>811.0254436010623</x:v>
      </x:c>
      <x:c r="D15" s="40" t="n">
        <x:f>D11*MAX(0,D12-D13)*12*10</x:f>
        <x:v>2493.1074331255127</x:v>
      </x:c>
      <x:c r="E15" s="40" t="n">
        <x:f>E11*MAX(0,E12-E13)*12*10</x:f>
        <x:v>5616.624231575341</x:v>
      </x:c>
      <x:c r="F15" s="40" t="n">
        <x:f>F11*MAX(0,F12-F13)*12*10</x:f>
        <x:v>9806.841392211532</x:v>
      </x:c>
      <x:c r="G15" s="92"/>
      <x:c r="H15" s="92"/>
      <x:c r="I15" s="92"/>
      <x:c r="J15" s="92"/>
      <x:c r="K15" s="92"/>
      <x:c r="L15" s="92"/>
      <x:c r="M15" s="92"/>
      <x:c r="N15" s="92"/>
      <x:c r="O15" s="95" t="n">
        <x:v>2028</x:v>
      </x:c>
      <x:c r="P15" s="95" t="n">
        <x:f>D14</x:f>
        <x:v>4798.584873125513</x:v>
      </x:c>
      <x:c r="Q15" s="95" t="n">
        <x:f>D15</x:f>
        <x:v>2493.1074331255127</x:v>
      </x:c>
      <x:c r="R15" s="95"/>
      <x:c r="S15" s="95"/>
      <x:c r="T15" s="95"/>
    </x:row>
    <x:row r="16" ht="15" hidden="0" customHeight="1">
      <x:c r="A16" s="16" t="str">
        <x:v>Token算力成本后贡献毛利率</x:v>
      </x:c>
      <x:c r="B16" s="42" t="n">
        <x:f>1-B13/B12</x:f>
        <x:v>0.2804937210498575</x:v>
      </x:c>
      <x:c r="C16" s="42" t="n">
        <x:f>1-C13/C12</x:f>
        <x:v>0.4122737131162526</x:v>
      </x:c>
      <x:c r="D16" s="42" t="n">
        <x:f>1-D13/D12</x:f>
        <x:v>0.5195505548079742</x:v>
      </x:c>
      <x:c r="E16" s="42" t="n">
        <x:f>1-E13/E12</x:f>
        <x:v>0.6069285615315292</x:v>
      </x:c>
      <x:c r="F16" s="42" t="n">
        <x:f>1-F13/F12</x:f>
        <x:v>0.6781397410040727</x:v>
      </x:c>
      <x:c r="G16" s="92"/>
      <x:c r="H16" s="92"/>
      <x:c r="I16" s="92"/>
      <x:c r="J16" s="92"/>
      <x:c r="K16" s="92"/>
      <x:c r="L16" s="92"/>
      <x:c r="M16" s="92"/>
      <x:c r="N16" s="92"/>
      <x:c r="O16" s="95" t="n">
        <x:v>2029</x:v>
      </x:c>
      <x:c r="P16" s="95" t="n">
        <x:f>E14</x:f>
        <x:v>9254.176829975338</x:v>
      </x:c>
      <x:c r="Q16" s="95" t="n">
        <x:f>E15</x:f>
        <x:v>5616.624231575341</x:v>
      </x:c>
      <x:c r="R16" s="95"/>
      <x:c r="S16" s="95"/>
      <x:c r="T16" s="95"/>
    </x:row>
    <x:row r="17" ht="15" hidden="0" customHeight="1">
      <x:c r="A17" s="16" t="str">
        <x:v>Base Token运营收入</x:v>
      </x:c>
      <x:c r="B17" s="40" t="n">
        <x:f>B29*B30*B31*12*10</x:f>
        <x:v>747.1790250175876</x:v>
      </x:c>
      <x:c r="C17" s="40" t="n">
        <x:f>C29*C30*C31*12*10</x:f>
        <x:v>1967.2014436010622</x:v>
      </x:c>
      <x:c r="D17" s="40" t="n">
        <x:f>D29*D30*D31*12*10</x:f>
        <x:v>4798.584873125513</x:v>
      </x:c>
      <x:c r="E17" s="40" t="n">
        <x:f>E29*E30*E31*12*10</x:f>
        <x:v>9254.176829975338</x:v>
      </x:c>
      <x:c r="F17" s="40" t="n">
        <x:f>F29*F30*F31*12*10</x:f>
        <x:v>14461.387232211531</x:v>
      </x:c>
      <x:c r="G17" s="92"/>
      <x:c r="H17" s="92"/>
      <x:c r="I17" s="92"/>
      <x:c r="J17" s="92"/>
      <x:c r="K17" s="92"/>
      <x:c r="L17" s="92"/>
      <x:c r="M17" s="92"/>
      <x:c r="N17" s="92"/>
      <x:c r="O17" s="95" t="n">
        <x:v>2030</x:v>
      </x:c>
      <x:c r="P17" s="95" t="n">
        <x:f>F14</x:f>
        <x:v>14461.387232211531</x:v>
      </x:c>
      <x:c r="Q17" s="95" t="n">
        <x:f>F15</x:f>
        <x:v>9806.841392211532</x:v>
      </x:c>
      <x:c r="R17" s="95"/>
      <x:c r="S17" s="95"/>
      <x:c r="T17" s="95"/>
    </x:row>
    <x:row r="18" ht="15" hidden="0" customHeight="1">
      <x:c r="A18" s="16" t="str">
        <x:v>Token收入情景系数</x:v>
      </x:c>
      <x:c r="B18" s="47" t="n">
        <x:f>B14/B17</x:f>
        <x:v>1</x:v>
      </x:c>
      <x:c r="C18" s="47" t="n">
        <x:f>C14/C17</x:f>
        <x:v>1</x:v>
      </x:c>
      <x:c r="D18" s="47" t="n">
        <x:f>D14/D17</x:f>
        <x:v>1</x:v>
      </x:c>
      <x:c r="E18" s="47" t="n">
        <x:f>E14/E17</x:f>
        <x:v>1</x:v>
      </x:c>
      <x:c r="F18" s="47" t="n">
        <x:f>F14/F17</x:f>
        <x:v>1</x:v>
      </x:c>
      <x:c r="G18" s="92"/>
      <x:c r="H18" s="92"/>
      <x:c r="I18" s="92"/>
      <x:c r="J18" s="92"/>
      <x:c r="K18" s="92"/>
      <x:c r="L18" s="92"/>
      <x:c r="M18" s="92"/>
      <x:c r="N18" s="92"/>
      <x:c r="O18" s="92"/>
      <x:c r="P18" s="92"/>
      <x:c r="Q18" s="92"/>
      <x:c r="R18" s="92"/>
      <x:c r="S18" s="92"/>
      <x:c r="T18" s="92"/>
    </x:row>
    <x:row r="19" ht="21.600000381469727" hidden="0" customHeight="1">
      <x:c r="A19" s="16" t="str">
        <x:v>Base Token算力成本后贡献毛利率</x:v>
      </x:c>
      <x:c r="B19" s="42" t="n">
        <x:f>1-B32/B31</x:f>
        <x:v>0.2804937210498575</x:v>
      </x:c>
      <x:c r="C19" s="42" t="n">
        <x:f>1-C32/C31</x:f>
        <x:v>0.4122737131162526</x:v>
      </x:c>
      <x:c r="D19" s="42" t="n">
        <x:f>1-D32/D31</x:f>
        <x:v>0.5195505548079743</x:v>
      </x:c>
      <x:c r="E19" s="42" t="n">
        <x:f>1-E32/E31</x:f>
        <x:v>0.6069285615315292</x:v>
      </x:c>
      <x:c r="F19" s="42" t="n">
        <x:f>1-F32/F31</x:f>
        <x:v>0.6781397410040727</x:v>
      </x:c>
      <x:c r="G19" s="92"/>
      <x:c r="H19" s="92"/>
      <x:c r="I19" s="92"/>
      <x:c r="J19" s="92"/>
      <x:c r="K19" s="92"/>
      <x:c r="L19" s="92"/>
      <x:c r="M19" s="92"/>
      <x:c r="N19" s="92"/>
      <x:c r="O19" s="92"/>
      <x:c r="P19" s="92"/>
      <x:c r="Q19" s="92"/>
      <x:c r="R19" s="92"/>
      <x:c r="S19" s="92"/>
      <x:c r="T19" s="92"/>
    </x:row>
    <x:row r="20" ht="15" hidden="0" customHeight="1">
      <x:c r="A20" s="92"/>
      <x:c r="B20" s="92"/>
      <x:c r="C20" s="92"/>
      <x:c r="D20" s="92"/>
      <x:c r="E20" s="92"/>
      <x:c r="F20" s="92"/>
      <x:c r="G20" s="92"/>
      <x:c r="H20" s="92"/>
      <x:c r="I20" s="92"/>
      <x:c r="J20" s="92"/>
      <x:c r="K20" s="92"/>
      <x:c r="L20" s="92"/>
      <x:c r="M20" s="92"/>
      <x:c r="N20" s="92"/>
      <x:c r="O20" s="92"/>
      <x:c r="P20" s="92"/>
      <x:c r="Q20" s="92"/>
      <x:c r="R20" s="92"/>
      <x:c r="S20" s="92"/>
      <x:c r="T20" s="92"/>
    </x:row>
    <x:row r="21" ht="15" hidden="0" customHeight="1">
      <x:c r="A21" s="92"/>
      <x:c r="B21" s="92"/>
      <x:c r="C21" s="92"/>
      <x:c r="D21" s="92"/>
      <x:c r="E21" s="92"/>
      <x:c r="F21" s="92"/>
      <x:c r="G21" s="92"/>
      <x:c r="H21" s="92"/>
      <x:c r="I21" s="92"/>
      <x:c r="J21" s="92"/>
      <x:c r="K21" s="92"/>
      <x:c r="L21" s="92"/>
      <x:c r="M21" s="92"/>
      <x:c r="N21" s="92"/>
      <x:c r="O21" s="92"/>
      <x:c r="P21" s="92"/>
      <x:c r="Q21" s="92"/>
      <x:c r="R21" s="92"/>
      <x:c r="S21" s="92"/>
      <x:c r="T21" s="92"/>
    </x:row>
    <x:row r="22" ht="15" hidden="0" customHeight="1">
      <x:c r="A22" s="29" t="str">
        <x:v>Base锚点（黄底蓝字可编辑）</x:v>
      </x:c>
      <x:c r="B22" s="29" t="str">
        <x:v>Base锚点（黄底蓝字可编辑）</x:v>
      </x:c>
      <x:c r="C22" s="29" t="str">
        <x:v>Base锚点（黄底蓝字可编辑）</x:v>
      </x:c>
      <x:c r="D22" s="29" t="str">
        <x:v>Base锚点（黄底蓝字可编辑）</x:v>
      </x:c>
      <x:c r="E22" s="29" t="str">
        <x:v>Base锚点（黄底蓝字可编辑）</x:v>
      </x:c>
      <x:c r="F22" s="29" t="str">
        <x:v>Base锚点（黄底蓝字可编辑）</x:v>
      </x:c>
      <x:c r="G22" s="92"/>
      <x:c r="H22" s="92"/>
      <x:c r="I22" s="92"/>
      <x:c r="J22" s="92"/>
      <x:c r="K22" s="92"/>
      <x:c r="L22" s="92"/>
      <x:c r="M22" s="92"/>
      <x:c r="N22" s="92"/>
      <x:c r="O22" s="92"/>
      <x:c r="P22" s="92"/>
      <x:c r="Q22" s="92"/>
      <x:c r="R22" s="92"/>
      <x:c r="S22" s="92"/>
      <x:c r="T22" s="92"/>
    </x:row>
    <x:row r="23" ht="15" hidden="0" customHeight="1">
      <x:c r="A23" s="92"/>
      <x:c r="B23" s="92"/>
      <x:c r="C23" s="92"/>
      <x:c r="D23" s="92"/>
      <x:c r="E23" s="92"/>
      <x:c r="F23" s="92"/>
      <x:c r="G23" s="92"/>
      <x:c r="H23" s="92"/>
      <x:c r="I23" s="92"/>
      <x:c r="J23" s="92"/>
      <x:c r="K23" s="92"/>
      <x:c r="L23" s="92"/>
      <x:c r="M23" s="92"/>
      <x:c r="N23" s="92"/>
      <x:c r="O23" s="92"/>
      <x:c r="P23" s="92"/>
      <x:c r="Q23" s="92"/>
      <x:c r="R23" s="92"/>
      <x:c r="S23" s="92"/>
      <x:c r="T23" s="92"/>
    </x:row>
    <x:row r="24" ht="15" hidden="0" customHeight="1">
      <x:c r="A24" s="12" t="str">
        <x:v>指标</x:v>
      </x:c>
      <x:c r="B24" s="12" t="n">
        <x:v>2026</x:v>
      </x:c>
      <x:c r="C24" s="12" t="n">
        <x:v>2027</x:v>
      </x:c>
      <x:c r="D24" s="12" t="n">
        <x:v>2028</x:v>
      </x:c>
      <x:c r="E24" s="12" t="n">
        <x:v>2029</x:v>
      </x:c>
      <x:c r="F24" s="12" t="n">
        <x:v>2030</x:v>
      </x:c>
      <x:c r="G24" s="92"/>
      <x:c r="H24" s="92"/>
      <x:c r="I24" s="92"/>
      <x:c r="J24" s="92"/>
      <x:c r="K24" s="92"/>
      <x:c r="L24" s="92"/>
      <x:c r="M24" s="92"/>
      <x:c r="N24" s="92"/>
      <x:c r="O24" s="92"/>
      <x:c r="P24" s="92"/>
      <x:c r="Q24" s="92"/>
      <x:c r="R24" s="92"/>
      <x:c r="S24" s="92"/>
      <x:c r="T24" s="92"/>
    </x:row>
    <x:row r="25" ht="15" hidden="0" customHeight="1">
      <x:c r="A25" s="16" t="str">
        <x:v>对话AI</x:v>
      </x:c>
      <x:c r="B25" s="49" t="n">
        <x:v>2.4</x:v>
      </x:c>
      <x:c r="C25" s="49" t="n">
        <x:v>5</x:v>
      </x:c>
      <x:c r="D25" s="49" t="n">
        <x:v>9</x:v>
      </x:c>
      <x:c r="E25" s="49" t="n">
        <x:v>15</x:v>
      </x:c>
      <x:c r="F25" s="49" t="n">
        <x:v>24</x:v>
      </x:c>
      <x:c r="G25" s="92"/>
      <x:c r="H25" s="92"/>
      <x:c r="I25" s="92"/>
      <x:c r="J25" s="92"/>
      <x:c r="K25" s="92"/>
      <x:c r="L25" s="92"/>
      <x:c r="M25" s="92"/>
      <x:c r="N25" s="92"/>
      <x:c r="O25" s="92"/>
      <x:c r="P25" s="92"/>
      <x:c r="Q25" s="92"/>
      <x:c r="R25" s="92"/>
      <x:c r="S25" s="92"/>
      <x:c r="T25" s="92"/>
    </x:row>
    <x:row r="26" ht="15" hidden="0" customHeight="1">
      <x:c r="A26" s="16" t="str">
        <x:v>知识工作智能体</x:v>
      </x:c>
      <x:c r="B26" s="49" t="n">
        <x:v>2.8</x:v>
      </x:c>
      <x:c r="C26" s="49" t="n">
        <x:v>10</x:v>
      </x:c>
      <x:c r="D26" s="49" t="n">
        <x:v>29</x:v>
      </x:c>
      <x:c r="E26" s="49" t="n">
        <x:v>66</x:v>
      </x:c>
      <x:c r="F26" s="49" t="n">
        <x:v>108</x:v>
      </x:c>
      <x:c r="G26" s="92"/>
      <x:c r="H26" s="92"/>
      <x:c r="I26" s="92"/>
      <x:c r="J26" s="92"/>
      <x:c r="K26" s="92"/>
      <x:c r="L26" s="92"/>
      <x:c r="M26" s="92"/>
      <x:c r="N26" s="92"/>
      <x:c r="O26" s="92"/>
      <x:c r="P26" s="92"/>
      <x:c r="Q26" s="92"/>
      <x:c r="R26" s="92"/>
      <x:c r="S26" s="92"/>
      <x:c r="T26" s="92"/>
    </x:row>
    <x:row r="27" ht="15" hidden="0" customHeight="1">
      <x:c r="A27" s="16" t="str">
        <x:v>生活场景智能体</x:v>
      </x:c>
      <x:c r="B27" s="49" t="n">
        <x:v>0.8</x:v>
      </x:c>
      <x:c r="C27" s="49" t="n">
        <x:v>3</x:v>
      </x:c>
      <x:c r="D27" s="49" t="n">
        <x:v>10</x:v>
      </x:c>
      <x:c r="E27" s="49" t="n">
        <x:v>29</x:v>
      </x:c>
      <x:c r="F27" s="49" t="n">
        <x:v>54</x:v>
      </x:c>
      <x:c r="G27" s="92"/>
      <x:c r="H27" s="92"/>
      <x:c r="I27" s="92"/>
      <x:c r="J27" s="92"/>
      <x:c r="K27" s="92"/>
      <x:c r="L27" s="92"/>
      <x:c r="M27" s="92"/>
      <x:c r="N27" s="92"/>
      <x:c r="O27" s="92"/>
      <x:c r="P27" s="92"/>
      <x:c r="Q27" s="92"/>
      <x:c r="R27" s="92"/>
      <x:c r="S27" s="92"/>
      <x:c r="T27" s="92"/>
    </x:row>
    <x:row r="28" ht="15" hidden="0" customHeight="1">
      <x:c r="A28" s="16" t="str">
        <x:v>多模态AI</x:v>
      </x:c>
      <x:c r="B28" s="49" t="n">
        <x:v>2</x:v>
      </x:c>
      <x:c r="C28" s="49" t="n">
        <x:v>6</x:v>
      </x:c>
      <x:c r="D28" s="49" t="n">
        <x:v>20</x:v>
      </x:c>
      <x:c r="E28" s="49" t="n">
        <x:v>48</x:v>
      </x:c>
      <x:c r="F28" s="49" t="n">
        <x:v>114</x:v>
      </x:c>
      <x:c r="G28" s="92"/>
      <x:c r="H28" s="92"/>
      <x:c r="I28" s="92"/>
      <x:c r="J28" s="92"/>
      <x:c r="K28" s="92"/>
      <x:c r="L28" s="92"/>
      <x:c r="M28" s="92"/>
      <x:c r="N28" s="92"/>
      <x:c r="O28" s="92"/>
      <x:c r="P28" s="92"/>
      <x:c r="Q28" s="92"/>
      <x:c r="R28" s="92"/>
      <x:c r="S28" s="92"/>
      <x:c r="T28" s="92"/>
    </x:row>
    <x:row r="29" ht="15" hidden="0" customHeight="1">
      <x:c r="A29" s="16" t="str">
        <x:v>有效Token合计</x:v>
      </x:c>
      <x:c r="B29" s="49" t="n">
        <x:v>7.999999999999999</x:v>
      </x:c>
      <x:c r="C29" s="49" t="n">
        <x:v>24</x:v>
      </x:c>
      <x:c r="D29" s="49" t="n">
        <x:v>68</x:v>
      </x:c>
      <x:c r="E29" s="49" t="n">
        <x:v>158</x:v>
      </x:c>
      <x:c r="F29" s="49" t="n">
        <x:v>300</x:v>
      </x:c>
      <x:c r="G29" s="92"/>
      <x:c r="H29" s="92"/>
      <x:c r="I29" s="92"/>
      <x:c r="J29" s="92"/>
      <x:c r="K29" s="92"/>
      <x:c r="L29" s="92"/>
      <x:c r="M29" s="92"/>
      <x:c r="N29" s="92"/>
      <x:c r="O29" s="92"/>
      <x:c r="P29" s="92"/>
      <x:c r="Q29" s="92"/>
      <x:c r="R29" s="92"/>
      <x:c r="S29" s="92"/>
      <x:c r="T29" s="92"/>
    </x:row>
    <x:row r="30" ht="15" hidden="0" customHeight="1">
      <x:c r="A30" s="16" t="str">
        <x:v>外部可计费比例</x:v>
      </x:c>
      <x:c r="B30" s="49" t="n">
        <x:v>0.32</x:v>
      </x:c>
      <x:c r="C30" s="49" t="n">
        <x:v>0.37</x:v>
      </x:c>
      <x:c r="D30" s="49" t="n">
        <x:v>0.42</x:v>
      </x:c>
      <x:c r="E30" s="49" t="n">
        <x:v>0.46</x:v>
      </x:c>
      <x:c r="F30" s="49" t="n">
        <x:v>0.5</x:v>
      </x:c>
      <x:c r="G30" s="92"/>
      <x:c r="H30" s="92"/>
      <x:c r="I30" s="92"/>
      <x:c r="J30" s="92"/>
      <x:c r="K30" s="92"/>
      <x:c r="L30" s="92"/>
      <x:c r="M30" s="92"/>
      <x:c r="N30" s="92"/>
      <x:c r="O30" s="92"/>
      <x:c r="P30" s="92"/>
      <x:c r="Q30" s="92"/>
      <x:c r="R30" s="92"/>
      <x:c r="S30" s="92"/>
      <x:c r="T30" s="92"/>
    </x:row>
    <x:row r="31" ht="15" hidden="0" customHeight="1">
      <x:c r="A31" s="16" t="str">
        <x:v>综合实现价格</x:v>
      </x:c>
      <x:c r="B31" s="53" t="n">
        <x:v>2.4322233887291267</x:v>
      </x:c>
      <x:c r="C31" s="53" t="n">
        <x:v>1.8460974508268229</x:v>
      </x:c>
      <x:c r="D31" s="53" t="n">
        <x:v>1.4001473135870428</x:v>
      </x:c>
      <x:c r="E31" s="53" t="n">
        <x:v>1.0610641201127475</x:v>
      </x:c>
      <x:c r="F31" s="53" t="n">
        <x:v>0.8034104017895296</x:v>
      </x:c>
      <x:c r="G31" s="92"/>
      <x:c r="H31" s="92"/>
      <x:c r="I31" s="92"/>
      <x:c r="J31" s="92"/>
      <x:c r="K31" s="92"/>
      <x:c r="L31" s="92"/>
      <x:c r="M31" s="92"/>
      <x:c r="N31" s="92"/>
      <x:c r="O31" s="92"/>
      <x:c r="P31" s="92"/>
      <x:c r="Q31" s="92"/>
      <x:c r="R31" s="92"/>
      <x:c r="S31" s="92"/>
      <x:c r="T31" s="92"/>
    </x:row>
    <x:row r="32" ht="15" hidden="0" customHeight="1">
      <x:c r="A32" s="16" t="str">
        <x:v>算力成本</x:v>
      </x:c>
      <x:c r="B32" s="49" t="n">
        <x:v>1.75</x:v>
      </x:c>
      <x:c r="C32" s="49" t="n">
        <x:v>1.085</x:v>
      </x:c>
      <x:c r="D32" s="49" t="n">
        <x:v>0.6727</x:v>
      </x:c>
      <x:c r="E32" s="49" t="n">
        <x:v>0.417074</x:v>
      </x:c>
      <x:c r="F32" s="49" t="n">
        <x:v>0.25858588</x:v>
      </x:c>
      <x:c r="G32" s="92"/>
      <x:c r="H32" s="92"/>
      <x:c r="I32" s="92"/>
      <x:c r="J32" s="92"/>
      <x:c r="K32" s="92"/>
      <x:c r="L32" s="92"/>
      <x:c r="M32" s="92"/>
      <x:c r="N32" s="92"/>
      <x:c r="O32" s="92"/>
      <x:c r="P32" s="92"/>
      <x:c r="Q32" s="92"/>
      <x:c r="R32" s="92"/>
      <x:c r="S32" s="92"/>
      <x:c r="T32" s="92"/>
    </x:row>
    <x:row r="33" ht="15" hidden="0" customHeight="1">
      <x:c r="A33" s="92"/>
      <x:c r="B33" s="92"/>
      <x:c r="C33" s="92"/>
      <x:c r="D33" s="92"/>
      <x:c r="E33" s="92"/>
      <x:c r="F33" s="92"/>
      <x:c r="G33" s="92"/>
      <x:c r="H33" s="92"/>
      <x:c r="I33" s="92"/>
      <x:c r="J33" s="92"/>
      <x:c r="K33" s="92"/>
      <x:c r="L33" s="92"/>
      <x:c r="M33" s="92"/>
      <x:c r="N33" s="92"/>
      <x:c r="O33" s="92"/>
      <x:c r="P33" s="92"/>
      <x:c r="Q33" s="92"/>
      <x:c r="R33" s="92"/>
      <x:c r="S33" s="92"/>
      <x:c r="T33" s="92"/>
    </x:row>
    <x:row r="34" ht="15" hidden="0" customHeight="1">
      <x:c r="A34" s="92"/>
      <x:c r="B34" s="92"/>
      <x:c r="C34" s="92"/>
      <x:c r="D34" s="92"/>
      <x:c r="E34" s="92"/>
      <x:c r="F34" s="92"/>
      <x:c r="G34" s="92"/>
      <x:c r="H34" s="92"/>
      <x:c r="I34" s="92"/>
      <x:c r="J34" s="92"/>
      <x:c r="K34" s="92"/>
      <x:c r="L34" s="92"/>
      <x:c r="M34" s="92"/>
      <x:c r="N34" s="92"/>
      <x:c r="O34" s="92"/>
      <x:c r="P34" s="92"/>
      <x:c r="Q34" s="92"/>
      <x:c r="R34" s="92"/>
      <x:c r="S34" s="92"/>
      <x:c r="T34" s="92"/>
    </x:row>
    <x:row r="35" ht="15" hidden="0" customHeight="1">
      <x:c r="A35" s="29" t="str">
        <x:v>Token运营收入到AI应用收入的子集桥</x:v>
      </x:c>
      <x:c r="B35" s="29" t="str">
        <x:v>Token运营收入到AI应用收入的子集桥</x:v>
      </x:c>
      <x:c r="C35" s="29" t="str">
        <x:v>Token运营收入到AI应用收入的子集桥</x:v>
      </x:c>
      <x:c r="D35" s="29" t="str">
        <x:v>Token运营收入到AI应用收入的子集桥</x:v>
      </x:c>
      <x:c r="E35" s="29" t="str">
        <x:v>Token运营收入到AI应用收入的子集桥</x:v>
      </x:c>
      <x:c r="F35" s="29" t="str">
        <x:v>Token运营收入到AI应用收入的子集桥</x:v>
      </x:c>
      <x:c r="G35" s="92"/>
      <x:c r="H35" s="92"/>
      <x:c r="I35" s="92"/>
      <x:c r="J35" s="92"/>
      <x:c r="K35" s="92"/>
      <x:c r="L35" s="92"/>
      <x:c r="M35" s="92"/>
      <x:c r="N35" s="92"/>
      <x:c r="O35" s="92"/>
      <x:c r="P35" s="92"/>
      <x:c r="Q35" s="92"/>
      <x:c r="R35" s="92"/>
      <x:c r="S35" s="92"/>
      <x:c r="T35" s="92"/>
    </x:row>
    <x:row r="36" ht="15" hidden="0" customHeight="1">
      <x:c r="A36" s="92"/>
      <x:c r="B36" s="92"/>
      <x:c r="C36" s="92"/>
      <x:c r="D36" s="92"/>
      <x:c r="E36" s="92"/>
      <x:c r="F36" s="92"/>
      <x:c r="G36" s="92"/>
      <x:c r="H36" s="92"/>
      <x:c r="I36" s="92"/>
      <x:c r="J36" s="92"/>
      <x:c r="K36" s="92"/>
      <x:c r="L36" s="92"/>
      <x:c r="M36" s="92"/>
      <x:c r="N36" s="92"/>
      <x:c r="O36" s="92"/>
      <x:c r="P36" s="92"/>
      <x:c r="Q36" s="92"/>
      <x:c r="R36" s="92"/>
      <x:c r="S36" s="92"/>
      <x:c r="T36" s="92"/>
    </x:row>
    <x:row r="37" ht="15" hidden="0" customHeight="1">
      <x:c r="A37" s="12" t="str">
        <x:v>指标</x:v>
      </x:c>
      <x:c r="B37" s="12" t="str">
        <x:v>2026E</x:v>
      </x:c>
      <x:c r="C37" s="12" t="str">
        <x:v>2027E</x:v>
      </x:c>
      <x:c r="D37" s="12" t="str">
        <x:v>2028E</x:v>
      </x:c>
      <x:c r="E37" s="12" t="str">
        <x:v>2029E</x:v>
      </x:c>
      <x:c r="F37" s="12" t="str">
        <x:v>2030E</x:v>
      </x:c>
      <x:c r="G37" s="92"/>
      <x:c r="H37" s="92"/>
      <x:c r="I37" s="92"/>
      <x:c r="J37" s="92"/>
      <x:c r="K37" s="92"/>
      <x:c r="L37" s="92"/>
      <x:c r="M37" s="92"/>
      <x:c r="N37" s="92"/>
      <x:c r="O37" s="92"/>
      <x:c r="P37" s="92"/>
      <x:c r="Q37" s="92"/>
      <x:c r="R37" s="92"/>
      <x:c r="S37" s="92"/>
      <x:c r="T37" s="92"/>
    </x:row>
    <x:row r="38" ht="15" hidden="0" customHeight="1">
      <x:c r="A38" s="16" t="str">
        <x:v>Token运营收入</x:v>
      </x:c>
      <x:c r="B38" s="40" t="n">
        <x:f>B14</x:f>
        <x:v>747.1790250175876</x:v>
      </x:c>
      <x:c r="C38" s="40" t="n">
        <x:f>C14</x:f>
        <x:v>1967.2014436010622</x:v>
      </x:c>
      <x:c r="D38" s="40" t="n">
        <x:f>D14</x:f>
        <x:v>4798.584873125513</x:v>
      </x:c>
      <x:c r="E38" s="40" t="n">
        <x:f>E14</x:f>
        <x:v>9254.176829975338</x:v>
      </x:c>
      <x:c r="F38" s="40" t="n">
        <x:f>F14</x:f>
        <x:v>14461.387232211531</x:v>
      </x:c>
      <x:c r="G38" s="92"/>
      <x:c r="H38" s="92"/>
      <x:c r="I38" s="92"/>
      <x:c r="J38" s="92"/>
      <x:c r="K38" s="92"/>
      <x:c r="L38" s="92"/>
      <x:c r="M38" s="92"/>
      <x:c r="N38" s="92"/>
      <x:c r="O38" s="92"/>
      <x:c r="P38" s="92"/>
      <x:c r="Q38" s="92"/>
      <x:c r="R38" s="92"/>
      <x:c r="S38" s="92"/>
      <x:c r="T38" s="92"/>
    </x:row>
    <x:row r="39" ht="15" hidden="0" customHeight="1">
      <x:c r="A39" s="16" t="str">
        <x:v>模型/API＋云AI收入</x:v>
      </x:c>
      <x:c r="B39" s="40" t="n">
        <x:f>'AI应用回报'!F5+'AI应用回报'!F7</x:f>
        <x:v>1958.4590250175875</x:v>
      </x:c>
      <x:c r="C39" s="40" t="n">
        <x:f>'AI应用回报'!G5+'AI应用回报'!G7</x:f>
        <x:v>4256.1646436010615</x:v>
      </x:c>
      <x:c r="D39" s="40" t="n">
        <x:f>'AI应用回报'!H5+'AI应用回报'!H7</x:f>
        <x:v>7677.302825125513</x:v>
      </x:c>
      <x:c r="E39" s="40" t="n">
        <x:f>'AI应用回报'!I5+'AI应用回报'!I7</x:f>
        <x:v>12593.15974965534</x:v>
      </x:c>
      <x:c r="F39" s="40" t="n">
        <x:f>'AI应用回报'!J5+'AI应用回报'!J7</x:f>
        <x:v>19138.34102421153</x:v>
      </x:c>
      <x:c r="G39" s="92"/>
      <x:c r="H39" s="92"/>
      <x:c r="I39" s="92"/>
      <x:c r="J39" s="92"/>
      <x:c r="K39" s="92"/>
      <x:c r="L39" s="92"/>
      <x:c r="M39" s="92"/>
      <x:c r="N39" s="92"/>
      <x:c r="O39" s="92"/>
      <x:c r="P39" s="92"/>
      <x:c r="Q39" s="92"/>
      <x:c r="R39" s="92"/>
      <x:c r="S39" s="92"/>
      <x:c r="T39" s="92"/>
    </x:row>
    <x:row r="40" ht="21.600000381469727" hidden="0" customHeight="1">
      <x:c r="A40" s="16" t="str">
        <x:v>非按Token确认的模型与云收入</x:v>
      </x:c>
      <x:c r="B40" s="40" t="n">
        <x:f>B39-B38</x:f>
        <x:v>1211.2799999999997</x:v>
      </x:c>
      <x:c r="C40" s="40" t="n">
        <x:f>C39-C38</x:f>
        <x:v>2288.9631999999992</x:v>
      </x:c>
      <x:c r="D40" s="40" t="n">
        <x:f>D39-D38</x:f>
        <x:v>2878.717952</x:v>
      </x:c>
      <x:c r="E40" s="40" t="n">
        <x:f>E39-E38</x:f>
        <x:v>3338.982919680002</x:v>
      </x:c>
      <x:c r="F40" s="40" t="n">
        <x:f>F39-F38</x:f>
        <x:v>4676.953792</x:v>
      </x:c>
      <x:c r="G40" s="92"/>
      <x:c r="H40" s="92"/>
      <x:c r="I40" s="92"/>
      <x:c r="J40" s="92"/>
      <x:c r="K40" s="92"/>
      <x:c r="L40" s="92"/>
      <x:c r="M40" s="92"/>
      <x:c r="N40" s="92"/>
      <x:c r="O40" s="92"/>
      <x:c r="P40" s="92"/>
      <x:c r="Q40" s="92"/>
      <x:c r="R40" s="92"/>
      <x:c r="S40" s="92"/>
      <x:c r="T40" s="92"/>
    </x:row>
    <x:row r="41" ht="21.600000381469727" hidden="0" customHeight="1">
      <x:c r="A41" s="16" t="str">
        <x:v>Token运营收入占模型与云收入比重</x:v>
      </x:c>
      <x:c r="B41" s="42" t="n">
        <x:f>B38/B39</x:f>
        <x:v>0.38151373884928624</x:v>
      </x:c>
      <x:c r="C41" s="42" t="n">
        <x:f>C38/C39</x:f>
        <x:v>0.4622005040520824</x:v>
      </x:c>
      <x:c r="D41" s="42" t="n">
        <x:f>D38/D39</x:f>
        <x:v>0.6250352477202256</x:v>
      </x:c>
      <x:c r="E41" s="42" t="n">
        <x:f>E38/E39</x:f>
        <x:v>0.7348574157672076</x:v>
      </x:c>
      <x:c r="F41" s="42" t="n">
        <x:f>F38/F39</x:f>
        <x:v>0.7556238659305277</x:v>
      </x:c>
      <x:c r="G41" s="92"/>
      <x:c r="H41" s="92"/>
      <x:c r="I41" s="92"/>
      <x:c r="J41" s="92"/>
      <x:c r="K41" s="92"/>
      <x:c r="L41" s="92"/>
      <x:c r="M41" s="92"/>
      <x:c r="N41" s="92"/>
      <x:c r="O41" s="92"/>
      <x:c r="P41" s="92"/>
      <x:c r="Q41" s="92"/>
      <x:c r="R41" s="92"/>
      <x:c r="S41" s="92"/>
      <x:c r="T41" s="92"/>
    </x:row>
    <x:row r="42" ht="15" hidden="0" customHeight="1">
      <x:c r="A42" s="92"/>
      <x:c r="B42" s="92"/>
      <x:c r="C42" s="92"/>
      <x:c r="D42" s="92"/>
      <x:c r="E42" s="92"/>
      <x:c r="F42" s="92"/>
      <x:c r="G42" s="92"/>
      <x:c r="H42" s="92"/>
      <x:c r="I42" s="92"/>
      <x:c r="J42" s="92"/>
      <x:c r="K42" s="92"/>
      <x:c r="L42" s="92"/>
      <x:c r="M42" s="92"/>
      <x:c r="N42" s="92"/>
      <x:c r="O42" s="92"/>
      <x:c r="P42" s="92"/>
      <x:c r="Q42" s="92"/>
      <x:c r="R42" s="92"/>
      <x:c r="S42" s="92"/>
      <x:c r="T42" s="92"/>
    </x:row>
    <x:row r="43" ht="15" hidden="0" customHeight="1">
      <x:c r="A43" s="92"/>
      <x:c r="B43" s="92"/>
      <x:c r="C43" s="92"/>
      <x:c r="D43" s="92"/>
      <x:c r="E43" s="92"/>
      <x:c r="F43" s="92"/>
      <x:c r="G43" s="92"/>
      <x:c r="H43" s="92"/>
      <x:c r="I43" s="92"/>
      <x:c r="J43" s="92"/>
      <x:c r="K43" s="92"/>
      <x:c r="L43" s="92"/>
      <x:c r="M43" s="92"/>
      <x:c r="N43" s="92"/>
      <x:c r="O43" s="92"/>
      <x:c r="P43" s="92"/>
      <x:c r="Q43" s="92"/>
      <x:c r="R43" s="92"/>
      <x:c r="S43" s="92"/>
      <x:c r="T43" s="92"/>
    </x:row>
    <x:row r="44" ht="15" hidden="0" customHeight="1">
      <x:c r="A44" s="16" t="str">
        <x:v>量价公式</x:v>
      </x:c>
      <x:c r="B44" s="16" t="str">
        <x:v>有效Token×外部可计费比例×综合实现价格×12个月＝Token运营收入</x:v>
      </x:c>
      <x:c r="C44" s="16" t="str"/>
      <x:c r="D44" s="16" t="str"/>
      <x:c r="E44" s="16" t="str"/>
      <x:c r="F44" s="16" t="str"/>
      <x:c r="G44" s="92"/>
      <x:c r="H44" s="92"/>
      <x:c r="I44" s="92"/>
      <x:c r="J44" s="92"/>
      <x:c r="K44" s="92"/>
      <x:c r="L44" s="92"/>
      <x:c r="M44" s="92"/>
      <x:c r="N44" s="92"/>
      <x:c r="O44" s="92"/>
      <x:c r="P44" s="92"/>
      <x:c r="Q44" s="92"/>
      <x:c r="R44" s="92"/>
      <x:c r="S44" s="92"/>
      <x:c r="T44" s="92"/>
    </x:row>
    <x:row r="45" ht="15" hidden="0" customHeight="1">
      <x:c r="A45" s="16" t="str">
        <x:v>非Token部分</x:v>
      </x:c>
      <x:c r="B45" s="16" t="str">
        <x:v>模型订阅、训练容量、预留实例、平台费和私有部署托管</x:v>
      </x:c>
      <x:c r="C45" s="16" t="str"/>
      <x:c r="D45" s="16" t="str"/>
      <x:c r="E45" s="16" t="str"/>
      <x:c r="F45" s="16" t="str"/>
      <x:c r="G45" s="92"/>
      <x:c r="H45" s="92"/>
      <x:c r="I45" s="92"/>
      <x:c r="J45" s="92"/>
      <x:c r="K45" s="92"/>
      <x:c r="L45" s="92"/>
      <x:c r="M45" s="92"/>
      <x:c r="N45" s="92"/>
      <x:c r="O45" s="92"/>
      <x:c r="P45" s="92"/>
      <x:c r="Q45" s="92"/>
      <x:c r="R45" s="92"/>
      <x:c r="S45" s="92"/>
      <x:c r="T45" s="92"/>
    </x:row>
    <x:row r="46" ht="15" hidden="0" customHeight="1">
      <x:c r="A46" s="16" t="str">
        <x:v>去重边界</x:v>
      </x:c>
      <x:c r="B46" s="16" t="str">
        <x:v>Token运营收入是模型/API与云AI收入的交叉子集，不另加到六类AI应用收入；六类收入还需消除供应链内部转售。</x:v>
      </x:c>
      <x:c r="C46" s="16" t="str"/>
      <x:c r="D46" s="16" t="str"/>
      <x:c r="E46" s="16" t="str"/>
      <x:c r="F46" s="16" t="str"/>
      <x:c r="G46" s="92"/>
      <x:c r="H46" s="92"/>
      <x:c r="I46" s="92"/>
      <x:c r="J46" s="92"/>
      <x:c r="K46" s="92"/>
      <x:c r="L46" s="92"/>
      <x:c r="M46" s="92"/>
      <x:c r="N46" s="92"/>
      <x:c r="O46" s="92"/>
      <x:c r="P46" s="92"/>
      <x:c r="Q46" s="92"/>
      <x:c r="R46" s="92"/>
      <x:c r="S46" s="92"/>
      <x:c r="T46" s="92"/>
    </x:row>
    <x:row r="47" ht="15" hidden="0" customHeight="1">
      <x:c r="A47" s="92"/>
      <x:c r="B47" s="92"/>
      <x:c r="C47" s="92"/>
      <x:c r="D47" s="92"/>
      <x:c r="E47" s="92"/>
      <x:c r="F47" s="92"/>
      <x:c r="G47" s="92"/>
      <x:c r="H47" s="92"/>
      <x:c r="I47" s="92"/>
      <x:c r="J47" s="92"/>
      <x:c r="K47" s="92"/>
      <x:c r="L47" s="92"/>
      <x:c r="M47" s="92"/>
      <x:c r="N47" s="92"/>
      <x:c r="O47" s="92"/>
      <x:c r="P47" s="92"/>
      <x:c r="Q47" s="92"/>
      <x:c r="R47" s="92"/>
      <x:c r="S47" s="92"/>
      <x:c r="T47" s="92"/>
    </x:row>
    <x:row r="48" ht="15" hidden="0" customHeight="1">
      <x:c r="A48" s="92"/>
      <x:c r="B48" s="92"/>
      <x:c r="C48" s="92"/>
      <x:c r="D48" s="92"/>
      <x:c r="E48" s="92"/>
      <x:c r="F48" s="92"/>
      <x:c r="G48" s="92"/>
      <x:c r="H48" s="92"/>
      <x:c r="I48" s="92"/>
      <x:c r="J48" s="92"/>
      <x:c r="K48" s="92"/>
      <x:c r="L48" s="92"/>
      <x:c r="M48" s="92"/>
      <x:c r="N48" s="92"/>
      <x:c r="O48" s="92"/>
      <x:c r="P48" s="92"/>
      <x:c r="Q48" s="92"/>
      <x:c r="R48" s="92"/>
      <x:c r="S48" s="92"/>
      <x:c r="T48" s="92"/>
    </x:row>
    <x:row r="49" ht="15" hidden="0" customHeight="1">
      <x:c r="A49" s="29" t="str">
        <x:v>主流闭源与开放权重模型定价研究（截至2026-08-18；单位：美元/百万Token）</x:v>
      </x:c>
      <x:c r="B49" s="29" t="str">
        <x:v>主流闭源与开放权重模型定价研究（截至2026-08-18；单位：美元/百万Token）</x:v>
      </x:c>
      <x:c r="C49" s="29" t="str">
        <x:v>主流闭源与开放权重模型定价研究（截至2026-08-18；单位：美元/百万Token）</x:v>
      </x:c>
      <x:c r="D49" s="29" t="str">
        <x:v>主流闭源与开放权重模型定价研究（截至2026-08-18；单位：美元/百万Token）</x:v>
      </x:c>
      <x:c r="E49" s="29" t="str">
        <x:v>主流闭源与开放权重模型定价研究（截至2026-08-18；单位：美元/百万Token）</x:v>
      </x:c>
      <x:c r="F49" s="29" t="str">
        <x:v>主流闭源与开放权重模型定价研究（截至2026-08-18；单位：美元/百万Token）</x:v>
      </x:c>
      <x:c r="G49" s="29" t="str">
        <x:v>主流闭源与开放权重模型定价研究（截至2026-08-18；单位：美元/百万Token）</x:v>
      </x:c>
      <x:c r="H49" s="29" t="str">
        <x:v>主流闭源与开放权重模型定价研究（截至2026-08-18；单位：美元/百万Token）</x:v>
      </x:c>
      <x:c r="I49" s="29" t="str">
        <x:v>主流闭源与开放权重模型定价研究（截至2026-08-18；单位：美元/百万Token）</x:v>
      </x:c>
      <x:c r="J49" s="29" t="str">
        <x:v>主流闭源与开放权重模型定价研究（截至2026-08-18；单位：美元/百万Token）</x:v>
      </x:c>
      <x:c r="K49" s="29" t="str">
        <x:v>主流闭源与开放权重模型定价研究（截至2026-08-18；单位：美元/百万Token）</x:v>
      </x:c>
      <x:c r="L49" s="29" t="str">
        <x:v>主流闭源与开放权重模型定价研究（截至2026-08-18；单位：美元/百万Token）</x:v>
      </x:c>
      <x:c r="M49" s="29" t="str">
        <x:v>主流闭源与开放权重模型定价研究（截至2026-08-18；单位：美元/百万Token）</x:v>
      </x:c>
      <x:c r="N49" s="29" t="str">
        <x:v>主流闭源与开放权重模型定价研究（截至2026-08-18；单位：美元/百万Token）</x:v>
      </x:c>
      <x:c r="O49" s="29" t="str">
        <x:v>主流闭源与开放权重模型定价研究（截至2026-08-18；单位：美元/百万Token）</x:v>
      </x:c>
      <x:c r="P49" s="92"/>
      <x:c r="Q49" s="92"/>
      <x:c r="R49" s="92"/>
      <x:c r="S49" s="92"/>
      <x:c r="T49" s="92"/>
    </x:row>
    <x:row r="50" ht="15" hidden="0" customHeight="1">
      <x:c r="A50" s="92"/>
      <x:c r="B50" s="92"/>
      <x:c r="C50" s="92"/>
      <x:c r="D50" s="92"/>
      <x:c r="E50" s="92"/>
      <x:c r="F50" s="92"/>
      <x:c r="G50" s="92"/>
      <x:c r="H50" s="92"/>
      <x:c r="I50" s="92"/>
      <x:c r="J50" s="92"/>
      <x:c r="K50" s="92"/>
      <x:c r="L50" s="92"/>
      <x:c r="M50" s="92"/>
      <x:c r="N50" s="92"/>
      <x:c r="O50" s="92"/>
      <x:c r="P50" s="92"/>
      <x:c r="Q50" s="92"/>
      <x:c r="R50" s="92"/>
      <x:c r="S50" s="92"/>
      <x:c r="T50" s="92"/>
    </x:row>
    <x:row r="51" ht="54" hidden="0" customHeight="1">
      <x:c r="A51" s="16" t="str">
        <x:v>输出Token占比</x:v>
      </x:c>
      <x:c r="B51" s="20" t="n">
        <x:v>0.2</x:v>
      </x:c>
      <x:c r="C51" s="16" t="str">
        <x:v>输入Token中缓存命中占比</x:v>
      </x:c>
      <x:c r="D51" s="20" t="n">
        <x:v>0.3</x:v>
      </x:c>
      <x:c r="E51" s="16" t="str">
        <x:v>企业/批量折扣</x:v>
      </x:c>
      <x:c r="F51" s="20" t="n">
        <x:v>0.1</x:v>
      </x:c>
      <x:c r="G51" s="16" t="str">
        <x:v>旧价格锚</x:v>
      </x:c>
      <x:c r="H51" s="46" t="n">
        <x:v>2.6</x:v>
      </x:c>
      <x:c r="I51" s="16" t="str">
        <x:v>价格边界</x:v>
      </x:c>
      <x:c r="J51" s="54" t="str">
        <x:v>AA＝Artificial Analysis。价格表使用标准文本Token费率，不含搜索、工具调用、图像、音频、超长上下文附加费和专用吞吐费用。开放权重模型的权重许可通常不按Token收费；表中价格是官方或一手云平台托管推理价格，自建部署成本进入算力成本而非API标价。Artificial Analysis综合单任务价格对应其Cost per Intelligence Index task，包含输入、缓存读写、推理与答案Token，不等于一般企业任务的绝对价格；本研究只用小弹性修正权重，避免把单一榜单直接当市场份额。不同时间点的指数版本会更新，趋势图侧重开放与闭源前沿差距，不把跨版本绝对分数机械相减。</x:v>
      </x:c>
      <x:c r="K51" s="54" t="str"/>
      <x:c r="L51" s="54" t="str"/>
      <x:c r="M51" s="54" t="str"/>
      <x:c r="N51" s="54" t="str"/>
      <x:c r="O51" s="54" t="str"/>
      <x:c r="P51" s="92"/>
      <x:c r="Q51" s="92"/>
      <x:c r="R51" s="92"/>
      <x:c r="S51" s="92"/>
      <x:c r="T51" s="92"/>
    </x:row>
    <x:row r="52" ht="15" hidden="0" customHeight="1">
      <x:c r="A52" s="57" t="str">
        <x:v>AA＝Artificial Analysis；综合单任务价格对应Cost per Intelligence Index task，单位为美元/任务。输入、缓存输入、输出及标准化综合价格的单位均为美元/百万Token。</x:v>
      </x:c>
      <x:c r="B52" s="57" t="str">
        <x:v>AA＝Artificial Analysis；综合单任务价格对应Cost per Intelligence Index task，单位为美元/任务。输入、缓存输入、输出及标准化综合价格的单位均为美元/百万Token。</x:v>
      </x:c>
      <x:c r="C52" s="57" t="str">
        <x:v>AA＝Artificial Analysis；综合单任务价格对应Cost per Intelligence Index task，单位为美元/任务。输入、缓存输入、输出及标准化综合价格的单位均为美元/百万Token。</x:v>
      </x:c>
      <x:c r="D52" s="57" t="str">
        <x:v>AA＝Artificial Analysis；综合单任务价格对应Cost per Intelligence Index task，单位为美元/任务。输入、缓存输入、输出及标准化综合价格的单位均为美元/百万Token。</x:v>
      </x:c>
      <x:c r="E52" s="57" t="str">
        <x:v>AA＝Artificial Analysis；综合单任务价格对应Cost per Intelligence Index task，单位为美元/任务。输入、缓存输入、输出及标准化综合价格的单位均为美元/百万Token。</x:v>
      </x:c>
      <x:c r="F52" s="57" t="str">
        <x:v>AA＝Artificial Analysis；综合单任务价格对应Cost per Intelligence Index task，单位为美元/任务。输入、缓存输入、输出及标准化综合价格的单位均为美元/百万Token。</x:v>
      </x:c>
      <x:c r="G52" s="57" t="str">
        <x:v>AA＝Artificial Analysis；综合单任务价格对应Cost per Intelligence Index task，单位为美元/任务。输入、缓存输入、输出及标准化综合价格的单位均为美元/百万Token。</x:v>
      </x:c>
      <x:c r="H52" s="57" t="str">
        <x:v>AA＝Artificial Analysis；综合单任务价格对应Cost per Intelligence Index task，单位为美元/任务。输入、缓存输入、输出及标准化综合价格的单位均为美元/百万Token。</x:v>
      </x:c>
      <x:c r="I52" s="57" t="str">
        <x:v>AA＝Artificial Analysis；综合单任务价格对应Cost per Intelligence Index task，单位为美元/任务。输入、缓存输入、输出及标准化综合价格的单位均为美元/百万Token。</x:v>
      </x:c>
      <x:c r="J52" s="57" t="str">
        <x:v>AA＝Artificial Analysis；综合单任务价格对应Cost per Intelligence Index task，单位为美元/任务。输入、缓存输入、输出及标准化综合价格的单位均为美元/百万Token。</x:v>
      </x:c>
      <x:c r="K52" s="57" t="str">
        <x:v>AA＝Artificial Analysis；综合单任务价格对应Cost per Intelligence Index task，单位为美元/任务。输入、缓存输入、输出及标准化综合价格的单位均为美元/百万Token。</x:v>
      </x:c>
      <x:c r="L52" s="57" t="str">
        <x:v>AA＝Artificial Analysis；综合单任务价格对应Cost per Intelligence Index task，单位为美元/任务。输入、缓存输入、输出及标准化综合价格的单位均为美元/百万Token。</x:v>
      </x:c>
      <x:c r="M52" s="57" t="str">
        <x:v>AA＝Artificial Analysis；综合单任务价格对应Cost per Intelligence Index task，单位为美元/任务。输入、缓存输入、输出及标准化综合价格的单位均为美元/百万Token。</x:v>
      </x:c>
      <x:c r="N52" s="57" t="str">
        <x:v>AA＝Artificial Analysis；综合单任务价格对应Cost per Intelligence Index task，单位为美元/任务。输入、缓存输入、输出及标准化综合价格的单位均为美元/百万Token。</x:v>
      </x:c>
      <x:c r="O52" s="57" t="str">
        <x:v>AA＝Artificial Analysis；综合单任务价格对应Cost per Intelligence Index task，单位为美元/任务。输入、缓存输入、输出及标准化综合价格的单位均为美元/百万Token。</x:v>
      </x:c>
      <x:c r="P52" s="92"/>
      <x:c r="Q52" s="92"/>
      <x:c r="R52" s="92"/>
      <x:c r="S52" s="92"/>
      <x:c r="T52" s="92"/>
    </x:row>
    <x:row r="53" ht="15" hidden="0" customHeight="1">
      <x:c r="A53" s="92"/>
      <x:c r="B53" s="92"/>
      <x:c r="C53" s="92"/>
      <x:c r="D53" s="92"/>
      <x:c r="E53" s="92"/>
      <x:c r="F53" s="92"/>
      <x:c r="G53" s="92"/>
      <x:c r="H53" s="92"/>
      <x:c r="I53" s="92"/>
      <x:c r="J53" s="92"/>
      <x:c r="K53" s="92"/>
      <x:c r="L53" s="92"/>
      <x:c r="M53" s="92"/>
      <x:c r="N53" s="92"/>
      <x:c r="O53" s="92"/>
      <x:c r="P53" s="92"/>
      <x:c r="Q53" s="92"/>
      <x:c r="R53" s="92"/>
      <x:c r="S53" s="92"/>
      <x:c r="T53" s="92"/>
    </x:row>
    <x:row r="54" ht="15" hidden="0" customHeight="1">
      <x:c r="A54" s="12" t="str">
        <x:v>路线</x:v>
      </x:c>
      <x:c r="B54" s="12" t="str">
        <x:v>提供商</x:v>
      </x:c>
      <x:c r="C54" s="12" t="str">
        <x:v>模型</x:v>
      </x:c>
      <x:c r="D54" s="12" t="str">
        <x:v>输入价格</x:v>
      </x:c>
      <x:c r="E54" s="12" t="str">
        <x:v>缓存输入价格</x:v>
      </x:c>
      <x:c r="F54" s="12" t="str">
        <x:v>输出价格</x:v>
      </x:c>
      <x:c r="G54" s="12" t="str">
        <x:v>标准化综合价格</x:v>
      </x:c>
      <x:c r="H54" s="12" t="str">
        <x:v>AA能力</x:v>
      </x:c>
      <x:c r="I54" s="12" t="str">
        <x:v>综合单任务价格</x:v>
      </x:c>
      <x:c r="J54" s="12" t="str">
        <x:v>路线内基础权重</x:v>
      </x:c>
      <x:c r="K54" s="12" t="str">
        <x:v>能力/任务价格调整</x:v>
      </x:c>
      <x:c r="L54" s="12" t="str">
        <x:v>最终可计费Token权重</x:v>
      </x:c>
      <x:c r="M54" s="12" t="str">
        <x:v>加权价格</x:v>
      </x:c>
      <x:c r="N54" s="12" t="str">
        <x:v>证据ID</x:v>
      </x:c>
      <x:c r="O54" s="12" t="str">
        <x:v>定价与评测说明</x:v>
      </x:c>
      <x:c r="P54" s="92"/>
      <x:c r="Q54" s="92"/>
      <x:c r="R54" s="92"/>
      <x:c r="S54" s="92"/>
      <x:c r="T54" s="92"/>
    </x:row>
    <x:row r="55" ht="15" hidden="0" customHeight="1">
      <x:c r="A55" s="16" t="str">
        <x:v>闭源</x:v>
      </x:c>
      <x:c r="B55" s="16" t="str">
        <x:v>OpenAI</x:v>
      </x:c>
      <x:c r="C55" s="16" t="str">
        <x:v>GPT-5.6 Sol</x:v>
      </x:c>
      <x:c r="D55" s="59" t="n">
        <x:v>5</x:v>
      </x:c>
      <x:c r="E55" s="59" t="n">
        <x:v>0.5</x:v>
      </x:c>
      <x:c r="F55" s="59" t="n">
        <x:v>30</x:v>
      </x:c>
      <x:c r="G55" s="60" t="n">
        <x:f>IF(OR(D55="",F55=""),"",(1-$B$51)*((1-$D$51)*D55+$D$51*E55)+$B$51*F55)</x:f>
        <x:v>8.92</x:v>
      </x:c>
      <x:c r="H55" s="61" t="n">
        <x:v>60.9298701329203</x:v>
      </x:c>
      <x:c r="I55" s="46" t="n">
        <x:v>1.2312110558767355</x:v>
      </x:c>
      <x:c r="J55" s="42" t="n">
        <x:v>0.055</x:v>
      </x:c>
      <x:c r="K55" s="62" t="n">
        <x:v>0.9766323321802053</x:v>
      </x:c>
      <x:c r="L55" s="20" t="n">
        <x:v>0.057215494516337555</x:v>
      </x:c>
      <x:c r="M55" s="60" t="n">
        <x:f>IF(G55="","",G55*L55)</x:f>
        <x:v>0.510362211085731</x:v>
      </x:c>
      <x:c r="N55" s="16" t="str">
        <x:v>S102/S113</x:v>
      </x:c>
      <x:c r="O55" s="16" t="str">
        <x:v>标准API；max；AA v4.1.1</x:v>
      </x:c>
      <x:c r="P55" s="92"/>
      <x:c r="Q55" s="92"/>
      <x:c r="R55" s="92"/>
      <x:c r="S55" s="92"/>
      <x:c r="T55" s="92"/>
    </x:row>
    <x:row r="56" ht="15" hidden="0" customHeight="1">
      <x:c r="A56" s="16" t="str">
        <x:v>闭源</x:v>
      </x:c>
      <x:c r="B56" s="16" t="str">
        <x:v>OpenAI</x:v>
      </x:c>
      <x:c r="C56" s="16" t="str">
        <x:v>GPT-5.6 Terra</x:v>
      </x:c>
      <x:c r="D56" s="59" t="n">
        <x:v>2</x:v>
      </x:c>
      <x:c r="E56" s="59" t="n">
        <x:v>0.2</x:v>
      </x:c>
      <x:c r="F56" s="59" t="n">
        <x:v>12</x:v>
      </x:c>
      <x:c r="G56" s="60" t="n">
        <x:f>IF(OR(D56="",F56=""),"",(1-$B$51)*((1-$D$51)*D56+$D$51*E56)+$B$51*F56)</x:f>
        <x:v>3.5680000000000005</x:v>
      </x:c>
      <x:c r="H56" s="61" t="n">
        <x:v>56.5755675890213</x:v>
      </x:c>
      <x:c r="I56" s="46" t="n">
        <x:v>0.5080188911299259</x:v>
      </x:c>
      <x:c r="J56" s="42" t="n">
        <x:v>0.09</x:v>
      </x:c>
      <x:c r="K56" s="62" t="n">
        <x:v>1.0582662567778778</x:v>
      </x:c>
      <x:c r="L56" s="20" t="n">
        <x:v>0.10145123231547457</x:v>
      </x:c>
      <x:c r="M56" s="60" t="n">
        <x:f>IF(G56="","",G56*L56)</x:f>
        <x:v>0.3619779969016133</x:v>
      </x:c>
      <x:c r="N56" s="16" t="str">
        <x:v>S102/S113</x:v>
      </x:c>
      <x:c r="O56" s="16" t="str">
        <x:v>2026年7月30日降价后；max；AA v4.1.1</x:v>
      </x:c>
      <x:c r="P56" s="92"/>
      <x:c r="Q56" s="92"/>
      <x:c r="R56" s="92"/>
      <x:c r="S56" s="92"/>
      <x:c r="T56" s="92"/>
    </x:row>
    <x:row r="57" ht="15" hidden="0" customHeight="1">
      <x:c r="A57" s="16" t="str">
        <x:v>闭源</x:v>
      </x:c>
      <x:c r="B57" s="16" t="str">
        <x:v>OpenAI</x:v>
      </x:c>
      <x:c r="C57" s="16" t="str">
        <x:v>GPT-5.6 Luna</x:v>
      </x:c>
      <x:c r="D57" s="59" t="n">
        <x:v>0.2</x:v>
      </x:c>
      <x:c r="E57" s="59" t="n">
        <x:v>0.02</x:v>
      </x:c>
      <x:c r="F57" s="59" t="n">
        <x:v>1.2</x:v>
      </x:c>
      <x:c r="G57" s="60" t="n">
        <x:f>IF(OR(D57="",F57=""),"",(1-$B$51)*((1-$D$51)*D57+$D$51*E57)+$B$51*F57)</x:f>
        <x:v>0.3568</x:v>
      </x:c>
      <x:c r="H57" s="61" t="n">
        <x:v>52.3180827840984</x:v>
      </x:c>
      <x:c r="I57" s="46" t="n">
        <x:v>0.047127533600050245</x:v>
      </x:c>
      <x:c r="J57" s="42" t="n">
        <x:v>0.09</x:v>
      </x:c>
      <x:c r="K57" s="62" t="n">
        <x:v>1.35</x:v>
      </x:c>
      <x:c r="L57" s="20" t="n">
        <x:v>0.12941843581301807</x:v>
      </x:c>
      <x:c r="M57" s="60" t="n">
        <x:f>IF(G57="","",G57*L57)</x:f>
        <x:v>0.046176497898084846</x:v>
      </x:c>
      <x:c r="N57" s="16" t="str">
        <x:v>S102/S113</x:v>
      </x:c>
      <x:c r="O57" s="16" t="str">
        <x:v>2026年7月30日降价后；max；AA v4.1.1</x:v>
      </x:c>
      <x:c r="P57" s="92"/>
      <x:c r="Q57" s="92"/>
      <x:c r="R57" s="92"/>
      <x:c r="S57" s="92"/>
      <x:c r="T57" s="92"/>
    </x:row>
    <x:row r="58" ht="15" hidden="0" customHeight="1">
      <x:c r="A58" s="16" t="str">
        <x:v>闭源</x:v>
      </x:c>
      <x:c r="B58" s="16" t="str">
        <x:v>Anthropic</x:v>
      </x:c>
      <x:c r="C58" s="16" t="str">
        <x:v>Claude Fable 5</x:v>
      </x:c>
      <x:c r="D58" s="59" t="n">
        <x:v>10</x:v>
      </x:c>
      <x:c r="E58" s="59" t="n">
        <x:v>1</x:v>
      </x:c>
      <x:c r="F58" s="59" t="n">
        <x:v>50</x:v>
      </x:c>
      <x:c r="G58" s="60" t="n">
        <x:f>IF(OR(D58="",F58=""),"",(1-$B$51)*((1-$D$51)*D58+$D$51*E58)+$B$51*F58)</x:f>
        <x:v>15.84</x:v>
      </x:c>
      <x:c r="H58" s="61" t="n">
        <x:v>62.0726622017462</x:v>
      </x:c>
      <x:c r="I58" s="46" t="n">
        <x:v>3.139584292089737</x:v>
      </x:c>
      <x:c r="J58" s="42" t="n">
        <x:v>0.015</x:v>
      </x:c>
      <x:c r="K58" s="62" t="n">
        <x:v>0.8785589003515055</x:v>
      </x:c>
      <x:c r="L58" s="20" t="n">
        <x:v>0.014037249216431737</x:v>
      </x:c>
      <x:c r="M58" s="60" t="n">
        <x:f>IF(G58="","",G58*L58)</x:f>
        <x:v>0.2223500275882787</x:v>
      </x:c>
      <x:c r="N58" s="16" t="str">
        <x:v>S103/S113</x:v>
      </x:c>
      <x:c r="O58" s="16" t="str">
        <x:v>最新旗舰；高成本任务使用权重较低；max+回退；AA v4.1.1</x:v>
      </x:c>
      <x:c r="P58" s="92"/>
      <x:c r="Q58" s="92"/>
      <x:c r="R58" s="92"/>
      <x:c r="S58" s="92"/>
      <x:c r="T58" s="92"/>
    </x:row>
    <x:row r="59" ht="15" hidden="0" customHeight="1">
      <x:c r="A59" s="16" t="str">
        <x:v>闭源</x:v>
      </x:c>
      <x:c r="B59" s="16" t="str">
        <x:v>Anthropic</x:v>
      </x:c>
      <x:c r="C59" s="16" t="str">
        <x:v>Claude Opus 5</x:v>
      </x:c>
      <x:c r="D59" s="59" t="n">
        <x:v>5</x:v>
      </x:c>
      <x:c r="E59" s="59" t="n">
        <x:v>0.5</x:v>
      </x:c>
      <x:c r="F59" s="59" t="n">
        <x:v>25</x:v>
      </x:c>
      <x:c r="G59" s="60" t="n">
        <x:f>IF(OR(D59="",F59=""),"",(1-$B$51)*((1-$D$51)*D59+$D$51*E59)+$B$51*F59)</x:f>
        <x:v>7.92</x:v>
      </x:c>
      <x:c r="H59" s="61" t="n">
        <x:v>63.0532452071291</x:v>
      </x:c>
      <x:c r="I59" s="46" t="n">
        <x:v>2.3368592081245625</x:v>
      </x:c>
      <x:c r="J59" s="42" t="n">
        <x:v>0.035</x:v>
      </x:c>
      <x:c r="K59" s="62" t="n">
        <x:v>0.9152549994598534</x:v>
      </x:c>
      <x:c r="L59" s="20" t="n">
        <x:v>0.034121649909505045</x:v>
      </x:c>
      <x:c r="M59" s="60" t="n">
        <x:f>IF(G59="","",G59*L59)</x:f>
        <x:v>0.27024346728327997</x:v>
      </x:c>
      <x:c r="N59" s="16" t="str">
        <x:v>S103/S113</x:v>
      </x:c>
      <x:c r="O59" s="16" t="str">
        <x:v>Artificial Analysis能力指数当前领先；max；AA v4.1.1</x:v>
      </x:c>
      <x:c r="P59" s="92"/>
      <x:c r="Q59" s="92"/>
      <x:c r="R59" s="92"/>
      <x:c r="S59" s="92"/>
      <x:c r="T59" s="92"/>
    </x:row>
    <x:row r="60" ht="15" hidden="0" customHeight="1">
      <x:c r="A60" s="16" t="str">
        <x:v>闭源</x:v>
      </x:c>
      <x:c r="B60" s="16" t="str">
        <x:v>Anthropic</x:v>
      </x:c>
      <x:c r="C60" s="16" t="str">
        <x:v>Claude Sonnet 5</x:v>
      </x:c>
      <x:c r="D60" s="59" t="n">
        <x:v>2</x:v>
      </x:c>
      <x:c r="E60" s="59" t="n">
        <x:v>0.2</x:v>
      </x:c>
      <x:c r="F60" s="59" t="n">
        <x:v>10</x:v>
      </x:c>
      <x:c r="G60" s="60" t="n">
        <x:f>IF(OR(D60="",F60=""),"",(1-$B$51)*((1-$D$51)*D60+$D$51*E60)+$B$51*F60)</x:f>
        <x:v>3.168</x:v>
      </x:c>
      <x:c r="H60" s="61" t="n">
        <x:v>55.261211717405</x:v>
      </x:c>
      <x:c r="I60" s="46" t="n">
        <x:v>1.717266743264445</x:v>
      </x:c>
      <x:c r="J60" s="42" t="n">
        <x:v>0.11</x:v>
      </x:c>
      <x:c r="K60" s="62" t="n">
        <x:v>0.9068741451011266</x:v>
      </x:c>
      <x:c r="L60" s="20" t="n">
        <x:v>0.10625749520335916</x:v>
      </x:c>
      <x:c r="M60" s="60" t="n">
        <x:f>IF(G60="","",G60*L60)</x:f>
        <x:v>0.33662374480424184</x:v>
      </x:c>
      <x:c r="N60" s="16" t="str">
        <x:v>S103/S113</x:v>
      </x:c>
      <x:c r="O60" s="16" t="str">
        <x:v>截至2026年8月31日首发价；标准价3/15；max；AA v4.1.1</x:v>
      </x:c>
      <x:c r="P60" s="92"/>
      <x:c r="Q60" s="92"/>
      <x:c r="R60" s="92"/>
      <x:c r="S60" s="92"/>
      <x:c r="T60" s="92"/>
    </x:row>
    <x:row r="61" ht="15" hidden="0" customHeight="1">
      <x:c r="A61" s="16" t="str">
        <x:v>闭源</x:v>
      </x:c>
      <x:c r="B61" s="16" t="str">
        <x:v>Anthropic</x:v>
      </x:c>
      <x:c r="C61" s="16" t="str">
        <x:v>Claude Haiku 4.5</x:v>
      </x:c>
      <x:c r="D61" s="59" t="n">
        <x:v>1</x:v>
      </x:c>
      <x:c r="E61" s="59" t="n">
        <x:v>0.1</x:v>
      </x:c>
      <x:c r="F61" s="59" t="n">
        <x:v>5</x:v>
      </x:c>
      <x:c r="G61" s="60" t="n">
        <x:f>IF(OR(D61="",F61=""),"",(1-$B$51)*((1-$D$51)*D61+$D$51*E61)+$B$51*F61)</x:f>
        <x:v>1.584</x:v>
      </x:c>
      <x:c r="H61" s="61"/>
      <x:c r="I61" s="46"/>
      <x:c r="J61" s="42" t="n">
        <x:v>0.04</x:v>
      </x:c>
      <x:c r="K61" s="62" t="n">
        <x:v>1</x:v>
      </x:c>
      <x:c r="L61" s="20" t="n">
        <x:v>0.042606892448730234</x:v>
      </x:c>
      <x:c r="M61" s="60" t="n">
        <x:f>IF(G61="","",G61*L61)</x:f>
        <x:v>0.0674893176387887</x:v>
      </x:c>
      <x:c r="N61" s="16" t="str">
        <x:v>S103</x:v>
      </x:c>
      <x:c r="O61" s="16" t="str">
        <x:v>高频低成本调用；未纳入可比主图</x:v>
      </x:c>
      <x:c r="P61" s="92"/>
      <x:c r="Q61" s="92"/>
      <x:c r="R61" s="92"/>
      <x:c r="S61" s="92"/>
      <x:c r="T61" s="92"/>
    </x:row>
    <x:row r="62" ht="15" hidden="0" customHeight="1">
      <x:c r="A62" s="16" t="str">
        <x:v>闭源</x:v>
      </x:c>
      <x:c r="B62" s="16" t="str">
        <x:v>Google</x:v>
      </x:c>
      <x:c r="C62" s="16" t="str">
        <x:v>Gemini 3.1 Pro</x:v>
      </x:c>
      <x:c r="D62" s="59" t="n">
        <x:v>2</x:v>
      </x:c>
      <x:c r="E62" s="59" t="n">
        <x:v>0.2</x:v>
      </x:c>
      <x:c r="F62" s="59" t="n">
        <x:v>12</x:v>
      </x:c>
      <x:c r="G62" s="60" t="n">
        <x:f>IF(OR(D62="",F62=""),"",(1-$B$51)*((1-$D$51)*D62+$D$51*E62)+$B$51*F62)</x:f>
        <x:v>3.5680000000000005</x:v>
      </x:c>
      <x:c r="H62" s="61"/>
      <x:c r="I62" s="46"/>
      <x:c r="J62" s="42" t="n">
        <x:v>0.035</x:v>
      </x:c>
      <x:c r="K62" s="62" t="n">
        <x:v>1</x:v>
      </x:c>
      <x:c r="L62" s="20" t="n">
        <x:v>0.037281030892638956</x:v>
      </x:c>
      <x:c r="M62" s="60" t="n">
        <x:f>IF(G62="","",G62*L62)</x:f>
        <x:v>0.1330187182249358</x:v>
      </x:c>
      <x:c r="N62" s="16" t="str">
        <x:v>S104</x:v>
      </x:c>
      <x:c r="O62" s="16" t="str">
        <x:v>20万Token以内标准调用；未纳入可比主图</x:v>
      </x:c>
      <x:c r="P62" s="92"/>
      <x:c r="Q62" s="92"/>
      <x:c r="R62" s="92"/>
      <x:c r="S62" s="92"/>
      <x:c r="T62" s="92"/>
    </x:row>
    <x:row r="63" ht="15" hidden="0" customHeight="1">
      <x:c r="A63" s="16" t="str">
        <x:v>闭源</x:v>
      </x:c>
      <x:c r="B63" s="16" t="str">
        <x:v>Google</x:v>
      </x:c>
      <x:c r="C63" s="16" t="str">
        <x:v>Gemini 3.6 Flash</x:v>
      </x:c>
      <x:c r="D63" s="59" t="n">
        <x:v>0.75</x:v>
      </x:c>
      <x:c r="E63" s="59" t="n">
        <x:v>0.075</x:v>
      </x:c>
      <x:c r="F63" s="59" t="n">
        <x:v>3.75</x:v>
      </x:c>
      <x:c r="G63" s="60" t="n">
        <x:f>IF(OR(D63="",F63=""),"",(1-$B$51)*((1-$D$51)*D63+$D$51*E63)+$B$51*F63)</x:f>
        <x:v>1.188</x:v>
      </x:c>
      <x:c r="H63" s="61" t="n">
        <x:v>51.5819376989529</x:v>
      </x:c>
      <x:c r="I63" s="46" t="n">
        <x:v>0.3441738148343059</x:v>
      </x:c>
      <x:c r="J63" s="42" t="n">
        <x:v>0.075</x:v>
      </x:c>
      <x:c r="K63" s="62" t="n">
        <x:v>1.0735969020010052</x:v>
      </x:c>
      <x:c r="L63" s="20" t="n">
        <x:v>0.08576742700658774</x:v>
      </x:c>
      <x:c r="M63" s="60" t="n">
        <x:f>IF(G63="","",G63*L63)</x:f>
        <x:v>0.10189170328382623</x:v>
      </x:c>
      <x:c r="N63" s="16" t="str">
        <x:v>S104/S113</x:v>
      </x:c>
      <x:c r="O63" s="16" t="str">
        <x:v>当前高性价比闭源代表；AA v4.1.1</x:v>
      </x:c>
      <x:c r="P63" s="92"/>
      <x:c r="Q63" s="92"/>
      <x:c r="R63" s="92"/>
      <x:c r="S63" s="92"/>
      <x:c r="T63" s="92"/>
    </x:row>
    <x:row r="64" ht="15" hidden="0" customHeight="1">
      <x:c r="A64" s="16" t="str">
        <x:v>闭源</x:v>
      </x:c>
      <x:c r="B64" s="16" t="str">
        <x:v>Google</x:v>
      </x:c>
      <x:c r="C64" s="16" t="str">
        <x:v>Gemini 3.5 Flash-Lite</x:v>
      </x:c>
      <x:c r="D64" s="59" t="n">
        <x:v>0.3</x:v>
      </x:c>
      <x:c r="E64" s="59" t="n">
        <x:v>0.03</x:v>
      </x:c>
      <x:c r="F64" s="59" t="n">
        <x:v>2.5</x:v>
      </x:c>
      <x:c r="G64" s="60" t="n">
        <x:f>IF(OR(D64="",F64=""),"",(1-$B$51)*((1-$D$51)*D64+$D$51*E64)+$B$51*F64)</x:f>
        <x:v>0.6752</x:v>
      </x:c>
      <x:c r="H64" s="61"/>
      <x:c r="I64" s="46"/>
      <x:c r="J64" s="42" t="n">
        <x:v>0.045</x:v>
      </x:c>
      <x:c r="K64" s="62" t="n">
        <x:v>1</x:v>
      </x:c>
      <x:c r="L64" s="20" t="n">
        <x:v>0.04793275400482151</x:v>
      </x:c>
      <x:c r="M64" s="60" t="n">
        <x:f>IF(G64="","",G64*L64)</x:f>
        <x:v>0.03236419550405548</x:v>
      </x:c>
      <x:c r="N64" s="16" t="str">
        <x:v>S104</x:v>
      </x:c>
      <x:c r="O64" s="16" t="str">
        <x:v>低成本大规模调用；未纳入可比主图</x:v>
      </x:c>
      <x:c r="P64" s="92"/>
      <x:c r="Q64" s="92"/>
      <x:c r="R64" s="92"/>
      <x:c r="S64" s="92"/>
      <x:c r="T64" s="92"/>
    </x:row>
    <x:row r="65" ht="15" hidden="0" customHeight="1">
      <x:c r="A65" s="16" t="str">
        <x:v>闭源</x:v>
      </x:c>
      <x:c r="B65" s="16" t="str">
        <x:v>SpaceXAI</x:v>
      </x:c>
      <x:c r="C65" s="16" t="str">
        <x:v>Grok 4.5</x:v>
      </x:c>
      <x:c r="D65" s="59" t="n">
        <x:v>2</x:v>
      </x:c>
      <x:c r="E65" s="59" t="n">
        <x:v>2</x:v>
      </x:c>
      <x:c r="F65" s="59" t="n">
        <x:v>6</x:v>
      </x:c>
      <x:c r="G65" s="60" t="n">
        <x:f>IF(OR(D65="",F65=""),"",(1-$B$51)*((1-$D$51)*D65+$D$51*E65)+$B$51*F65)</x:f>
        <x:v>2.8000000000000003</x:v>
      </x:c>
      <x:c r="H65" s="61"/>
      <x:c r="I65" s="46"/>
      <x:c r="J65" s="42" t="n">
        <x:v>0.035</x:v>
      </x:c>
      <x:c r="K65" s="62" t="n">
        <x:v>1</x:v>
      </x:c>
      <x:c r="L65" s="20" t="n">
        <x:v>0.037281030892638956</x:v>
      </x:c>
      <x:c r="M65" s="60" t="n">
        <x:f>IF(G65="","",G65*L65)</x:f>
        <x:v>0.10438688649938908</x:v>
      </x:c>
      <x:c r="N65" s="16" t="str">
        <x:v>S105</x:v>
      </x:c>
      <x:c r="O65" s="16" t="str">
        <x:v>公开页未列缓存折扣，按输入价格处理；未纳入可比主图</x:v>
      </x:c>
      <x:c r="P65" s="92"/>
      <x:c r="Q65" s="92"/>
      <x:c r="R65" s="92"/>
      <x:c r="S65" s="92"/>
      <x:c r="T65" s="92"/>
    </x:row>
    <x:row r="66" ht="15" hidden="0" customHeight="1">
      <x:c r="A66" s="16" t="str">
        <x:v>闭源</x:v>
      </x:c>
      <x:c r="B66" s="16" t="str">
        <x:v>阿里云</x:v>
      </x:c>
      <x:c r="C66" s="16" t="str">
        <x:v>Qwen3.7 Max</x:v>
      </x:c>
      <x:c r="D66" s="59" t="n">
        <x:v>1.65</x:v>
      </x:c>
      <x:c r="E66" s="59" t="n">
        <x:v>0.165</x:v>
      </x:c>
      <x:c r="F66" s="59" t="n">
        <x:v>4.951</x:v>
      </x:c>
      <x:c r="G66" s="60" t="n">
        <x:f>IF(OR(D66="",F66=""),"",(1-$B$51)*((1-$D$51)*D66+$D$51*E66)+$B$51*F66)</x:f>
        <x:v>1.9538</x:v>
      </x:c>
      <x:c r="H66" s="61"/>
      <x:c r="I66" s="46"/>
      <x:c r="J66" s="42" t="n">
        <x:v>0.025</x:v>
      </x:c>
      <x:c r="K66" s="62" t="n">
        <x:v>1</x:v>
      </x:c>
      <x:c r="L66" s="20" t="n">
        <x:v>0.026629307780456395</x:v>
      </x:c>
      <x:c r="M66" s="60" t="n">
        <x:f>IF(G66="","",G66*L66)</x:f>
        <x:v>0.052028341541455705</x:v>
      </x:c>
      <x:c r="N66" s="16" t="str">
        <x:v>S107</x:v>
      </x:c>
      <x:c r="O66" s="16" t="str">
        <x:v>全球区标准价，不采用限时折扣；未纳入可比主图</x:v>
      </x:c>
      <x:c r="P66" s="92"/>
      <x:c r="Q66" s="92"/>
      <x:c r="R66" s="92"/>
      <x:c r="S66" s="92"/>
      <x:c r="T66" s="92"/>
    </x:row>
    <x:row r="67" ht="15" hidden="0" customHeight="1">
      <x:c r="A67" s="16" t="str">
        <x:v>开放权重</x:v>
      </x:c>
      <x:c r="B67" s="16" t="str">
        <x:v>月之暗面</x:v>
      </x:c>
      <x:c r="C67" s="16" t="str">
        <x:v>Kimi K3</x:v>
      </x:c>
      <x:c r="D67" s="59" t="n">
        <x:v>3</x:v>
      </x:c>
      <x:c r="E67" s="59" t="n">
        <x:v>0.3</x:v>
      </x:c>
      <x:c r="F67" s="59" t="n">
        <x:v>15</x:v>
      </x:c>
      <x:c r="G67" s="60" t="n">
        <x:f>IF(OR(D67="",F67=""),"",(1-$B$51)*((1-$D$51)*D67+$D$51*E67)+$B$51*F67)</x:f>
        <x:v>4.752</x:v>
      </x:c>
      <x:c r="H67" s="61" t="n">
        <x:v>59.6994671342592</x:v>
      </x:c>
      <x:c r="I67" s="46" t="n">
        <x:v>0.8374574917584584</x:v>
      </x:c>
      <x:c r="J67" s="42" t="n">
        <x:v>0.07</x:v>
      </x:c>
      <x:c r="K67" s="62" t="n">
        <x:v>1.0155809287037185</x:v>
      </x:c>
      <x:c r="L67" s="20" t="n">
        <x:v>0.05400068533899843</x:v>
      </x:c>
      <x:c r="M67" s="60" t="n">
        <x:f>IF(G67="","",G67*L67)</x:f>
        <x:v>0.25661125673092056</x:v>
      </x:c>
      <x:c r="N67" s="16" t="str">
        <x:v>S110/S113</x:v>
      </x:c>
      <x:c r="O67" s="16" t="str">
        <x:v>开放权重前沿；能力接近GPT-5.6 Sol max；max；AA v4.1.1</x:v>
      </x:c>
      <x:c r="P67" s="92"/>
      <x:c r="Q67" s="92"/>
      <x:c r="R67" s="92"/>
      <x:c r="S67" s="92"/>
      <x:c r="T67" s="92"/>
    </x:row>
    <x:row r="68" ht="15" hidden="0" customHeight="1">
      <x:c r="A68" s="16" t="str">
        <x:v>开放权重</x:v>
      </x:c>
      <x:c r="B68" s="16" t="str">
        <x:v>智谱</x:v>
      </x:c>
      <x:c r="C68" s="16" t="str">
        <x:v>GLM-5.2</x:v>
      </x:c>
      <x:c r="D68" s="59" t="n">
        <x:v>1.4</x:v>
      </x:c>
      <x:c r="E68" s="59" t="n">
        <x:v>0.26</x:v>
      </x:c>
      <x:c r="F68" s="59" t="n">
        <x:v>4.4</x:v>
      </x:c>
      <x:c r="G68" s="60" t="n">
        <x:f>IF(OR(D68="",F68=""),"",(1-$B$51)*((1-$D$51)*D68+$D$51*E68)+$B$51*F68)</x:f>
        <x:v>1.7264</x:v>
      </x:c>
      <x:c r="H68" s="61" t="n">
        <x:v>52.6409563457385</x:v>
      </x:c>
      <x:c r="I68" s="46" t="n">
        <x:v>0.3345801727010051</x:v>
      </x:c>
      <x:c r="J68" s="42" t="n">
        <x:v>0.055</x:v>
      </x:c>
      <x:c r="K68" s="62" t="n">
        <x:v>1.0849349653465492</x:v>
      </x:c>
      <x:c r="L68" s="20" t="n">
        <x:v>0.045326594452490376</x:v>
      </x:c>
      <x:c r="M68" s="60" t="n">
        <x:f>IF(G68="","",G68*L68)</x:f>
        <x:v>0.07825183266277938</x:v>
      </x:c>
      <x:c r="N68" s="16" t="str">
        <x:v>S111/S113</x:v>
      </x:c>
      <x:c r="O68" s="16" t="str">
        <x:v>2026年6月开放权重前沿；max；AA v4.1.1</x:v>
      </x:c>
      <x:c r="P68" s="92"/>
      <x:c r="Q68" s="92"/>
      <x:c r="R68" s="92"/>
      <x:c r="S68" s="92"/>
      <x:c r="T68" s="92"/>
    </x:row>
    <x:row r="69" ht="21.600000381469727" hidden="0" customHeight="1">
      <x:c r="A69" s="16" t="str">
        <x:v>开放权重</x:v>
      </x:c>
      <x:c r="B69" s="16" t="str">
        <x:v>智谱</x:v>
      </x:c>
      <x:c r="C69" s="16" t="str">
        <x:v>GLM-5.3</x:v>
      </x:c>
      <x:c r="D69" s="59"/>
      <x:c r="E69" s="59"/>
      <x:c r="F69" s="59"/>
      <x:c r="G69" s="60" t="str">
        <x:f>IF(OR(D69="",F69=""),"",(1-$B$51)*((1-$D$51)*D69+$D$51*E69)+$B$51*F69)</x:f>
      </x:c>
      <x:c r="H69" s="61"/>
      <x:c r="I69" s="46"/>
      <x:c r="J69" s="42" t="n">
        <x:v>0</x:v>
      </x:c>
      <x:c r="K69" s="62" t="n">
        <x:v>1</x:v>
      </x:c>
      <x:c r="L69" s="20" t="n">
        <x:v>0</x:v>
      </x:c>
      <x:c r="M69" s="60" t="str">
        <x:f>IF(G69="","",G69*L69)</x:f>
      </x:c>
      <x:c r="N69" s="16" t="str">
        <x:v>S114</x:v>
      </x:c>
      <x:c r="O69" s="16" t="str">
        <x:v>已发布安全能力信息；统一API价格与可比AA通用指数待更新，暂不进入均价；等待AA通用能力评测</x:v>
      </x:c>
      <x:c r="P69" s="92"/>
      <x:c r="Q69" s="92"/>
      <x:c r="R69" s="92"/>
      <x:c r="S69" s="92"/>
      <x:c r="T69" s="92"/>
    </x:row>
    <x:row r="70" ht="15" hidden="0" customHeight="1">
      <x:c r="A70" s="16" t="str">
        <x:v>开放权重</x:v>
      </x:c>
      <x:c r="B70" s="16" t="str">
        <x:v>DeepSeek</x:v>
      </x:c>
      <x:c r="C70" s="16" t="str">
        <x:v>DeepSeek V4 Pro 0813</x:v>
      </x:c>
      <x:c r="D70" s="59" t="n">
        <x:v>1.32</x:v>
      </x:c>
      <x:c r="E70" s="59" t="n">
        <x:v>0.044</x:v>
      </x:c>
      <x:c r="F70" s="59" t="n">
        <x:v>3.96</x:v>
      </x:c>
      <x:c r="G70" s="60" t="n">
        <x:f>IF(OR(D70="",F70=""),"",(1-$B$51)*((1-$D$51)*D70+$D$51*E70)+$B$51*F70)</x:f>
        <x:v>1.54176</x:v>
      </x:c>
      <x:c r="H70" s="61" t="n">
        <x:v>53.1976849297815</x:v>
      </x:c>
      <x:c r="I70" s="46" t="n">
        <x:v>0.2520714190687621</x:v>
      </x:c>
      <x:c r="J70" s="42" t="n">
        <x:v>0.05</x:v>
      </x:c>
      <x:c r="K70" s="62" t="n">
        <x:v>1.1265748042958221</x:v>
      </x:c>
      <x:c r="L70" s="20" t="n">
        <x:v>0.04278748237176987</x:v>
      </x:c>
      <x:c r="M70" s="60" t="n">
        <x:f>IF(G70="","",G70*L70)</x:f>
        <x:v>0.06596802882149991</x:v>
      </x:c>
      <x:c r="N70" s="16" t="str">
        <x:v>S106/S113</x:v>
      </x:c>
      <x:c r="O70" s="16" t="str">
        <x:v>0813版本；官方API峰时价；max；AA v4.1.1</x:v>
      </x:c>
      <x:c r="P70" s="92"/>
      <x:c r="Q70" s="92"/>
      <x:c r="R70" s="92"/>
      <x:c r="S70" s="92"/>
      <x:c r="T70" s="92"/>
    </x:row>
    <x:row r="71" ht="15" hidden="0" customHeight="1">
      <x:c r="A71" s="16" t="str">
        <x:v>开放权重</x:v>
      </x:c>
      <x:c r="B71" s="16" t="str">
        <x:v>DeepSeek</x:v>
      </x:c>
      <x:c r="C71" s="16" t="str">
        <x:v>DeepSeek V4 Flash</x:v>
      </x:c>
      <x:c r="D71" s="59" t="n">
        <x:v>0.44</x:v>
      </x:c>
      <x:c r="E71" s="59" t="n">
        <x:v>0.014</x:v>
      </x:c>
      <x:c r="F71" s="59" t="n">
        <x:v>1.32</x:v>
      </x:c>
      <x:c r="G71" s="60" t="n">
        <x:f>IF(OR(D71="",F71=""),"",(1-$B$51)*((1-$D$51)*D71+$D$51*E71)+$B$51*F71)</x:f>
        <x:v>0.51376</x:v>
      </x:c>
      <x:c r="H71" s="61"/>
      <x:c r="I71" s="46"/>
      <x:c r="J71" s="42" t="n">
        <x:v>0.035</x:v>
      </x:c>
      <x:c r="K71" s="62" t="n">
        <x:v>1</x:v>
      </x:c>
      <x:c r="L71" s="20" t="n">
        <x:v>0.0265861064405397</x:v>
      </x:c>
      <x:c r="M71" s="60" t="n">
        <x:f>IF(G71="","",G71*L71)</x:f>
        <x:v>0.013658878044891676</x:v>
      </x:c>
      <x:c r="N71" s="16" t="str">
        <x:v>S106</x:v>
      </x:c>
      <x:c r="O71" s="16" t="str">
        <x:v>官方API峰时价；未纳入可比主图</x:v>
      </x:c>
      <x:c r="P71" s="92"/>
      <x:c r="Q71" s="92"/>
      <x:c r="R71" s="92"/>
      <x:c r="S71" s="92"/>
      <x:c r="T71" s="92"/>
    </x:row>
    <x:row r="72" ht="15" hidden="0" customHeight="1">
      <x:c r="A72" s="16" t="str">
        <x:v>开放权重</x:v>
      </x:c>
      <x:c r="B72" s="16" t="str">
        <x:v>MiniMax</x:v>
      </x:c>
      <x:c r="C72" s="16" t="str">
        <x:v>MiniMax M3</x:v>
      </x:c>
      <x:c r="D72" s="59" t="n">
        <x:v>0.3</x:v>
      </x:c>
      <x:c r="E72" s="59" t="n">
        <x:v>0.06</x:v>
      </x:c>
      <x:c r="F72" s="59" t="n">
        <x:v>1.2</x:v>
      </x:c>
      <x:c r="G72" s="60" t="n">
        <x:f>IF(OR(D72="",F72=""),"",(1-$B$51)*((1-$D$51)*D72+$D$51*E72)+$B$51*F72)</x:f>
        <x:v>0.4224</x:v>
      </x:c>
      <x:c r="H72" s="61" t="n">
        <x:v>45.3968506399702</x:v>
      </x:c>
      <x:c r="I72" s="46" t="n">
        <x:v>0.13870974901890812</x:v>
      </x:c>
      <x:c r="J72" s="42" t="n">
        <x:v>0.045</x:v>
      </x:c>
      <x:c r="K72" s="62" t="n">
        <x:v>1.1449501432715483</x:v>
      </x:c>
      <x:c r="L72" s="20" t="n">
        <x:v>0.039136842486165294</x:v>
      </x:c>
      <x:c r="M72" s="60" t="n">
        <x:f>IF(G72="","",G72*L72)</x:f>
        <x:v>0.01653140226615622</x:v>
      </x:c>
      <x:c r="N72" s="16" t="str">
        <x:v>S112/S113</x:v>
      </x:c>
      <x:c r="O72" s="16" t="str">
        <x:v>开放权重高性价比代表；AA v4.1.1</x:v>
      </x:c>
      <x:c r="P72" s="92"/>
      <x:c r="Q72" s="92"/>
      <x:c r="R72" s="92"/>
      <x:c r="S72" s="92"/>
      <x:c r="T72" s="92"/>
    </x:row>
    <x:row r="73" ht="15" hidden="0" customHeight="1">
      <x:c r="A73" s="16" t="str">
        <x:v>开放权重</x:v>
      </x:c>
      <x:c r="B73" s="16" t="str">
        <x:v>阿里云</x:v>
      </x:c>
      <x:c r="C73" s="16" t="str">
        <x:v>Qwen3 235B-A22B Instruct</x:v>
      </x:c>
      <x:c r="D73" s="59" t="n">
        <x:v>0.23</x:v>
      </x:c>
      <x:c r="E73" s="59" t="n">
        <x:v>0.023</x:v>
      </x:c>
      <x:c r="F73" s="59" t="n">
        <x:v>0.92</x:v>
      </x:c>
      <x:c r="G73" s="60" t="n">
        <x:f>IF(OR(D73="",F73=""),"",(1-$B$51)*((1-$D$51)*D73+$D$51*E73)+$B$51*F73)</x:f>
        <x:v>0.31832000000000005</x:v>
      </x:c>
      <x:c r="H73" s="61"/>
      <x:c r="I73" s="46"/>
      <x:c r="J73" s="42" t="n">
        <x:v>0.04</x:v>
      </x:c>
      <x:c r="K73" s="62" t="n">
        <x:v>1</x:v>
      </x:c>
      <x:c r="L73" s="20" t="n">
        <x:v>0.03038412164633108</x:v>
      </x:c>
      <x:c r="M73" s="60" t="n">
        <x:f>IF(G73="","",G73*L73)</x:f>
        <x:v>0.00967187360246011</x:v>
      </x:c>
      <x:c r="N73" s="16" t="str">
        <x:v>S107</x:v>
      </x:c>
      <x:c r="O73" s="16" t="str">
        <x:v>阿里云国际区托管推理；未纳入可比主图</x:v>
      </x:c>
      <x:c r="P73" s="92"/>
      <x:c r="Q73" s="92"/>
      <x:c r="R73" s="92"/>
      <x:c r="S73" s="92"/>
      <x:c r="T73" s="92"/>
    </x:row>
    <x:row r="74" ht="15" hidden="0" customHeight="1">
      <x:c r="A74" s="16" t="str">
        <x:v>开放权重</x:v>
      </x:c>
      <x:c r="B74" s="16" t="str">
        <x:v>Meta/Google Cloud</x:v>
      </x:c>
      <x:c r="C74" s="16" t="str">
        <x:v>Llama 4 Maverick</x:v>
      </x:c>
      <x:c r="D74" s="59" t="n">
        <x:v>0.35</x:v>
      </x:c>
      <x:c r="E74" s="59" t="n">
        <x:v>0.35</x:v>
      </x:c>
      <x:c r="F74" s="59" t="n">
        <x:v>1.15</x:v>
      </x:c>
      <x:c r="G74" s="60" t="n">
        <x:f>IF(OR(D74="",F74=""),"",(1-$B$51)*((1-$D$51)*D74+$D$51*E74)+$B$51*F74)</x:f>
        <x:v>0.51</x:v>
      </x:c>
      <x:c r="H74" s="61"/>
      <x:c r="I74" s="46"/>
      <x:c r="J74" s="42" t="n">
        <x:v>0.03</x:v>
      </x:c>
      <x:c r="K74" s="62" t="n">
        <x:v>1</x:v>
      </x:c>
      <x:c r="L74" s="20" t="n">
        <x:v>0.02278809123474831</x:v>
      </x:c>
      <x:c r="M74" s="60" t="n">
        <x:f>IF(G74="","",G74*L74)</x:f>
        <x:v>0.01162192652972164</x:v>
      </x:c>
      <x:c r="N74" s="16" t="str">
        <x:v>S108</x:v>
      </x:c>
      <x:c r="O74" s="16" t="str">
        <x:v>Vertex AI托管价；未列缓存折扣；未纳入可比主图</x:v>
      </x:c>
      <x:c r="P74" s="92"/>
      <x:c r="Q74" s="92"/>
      <x:c r="R74" s="92"/>
      <x:c r="S74" s="92"/>
      <x:c r="T74" s="92"/>
    </x:row>
    <x:row r="75" ht="15" hidden="0" customHeight="1">
      <x:c r="A75" s="16" t="str">
        <x:v>开放权重</x:v>
      </x:c>
      <x:c r="B75" s="16" t="str">
        <x:v>Mistral</x:v>
      </x:c>
      <x:c r="C75" s="16" t="str">
        <x:v>Mistral Large 3</x:v>
      </x:c>
      <x:c r="D75" s="59" t="n">
        <x:v>0.5</x:v>
      </x:c>
      <x:c r="E75" s="59" t="n">
        <x:v>0.05</x:v>
      </x:c>
      <x:c r="F75" s="59" t="n">
        <x:v>1.5</x:v>
      </x:c>
      <x:c r="G75" s="60" t="n">
        <x:f>IF(OR(D75="",F75=""),"",(1-$B$51)*((1-$D$51)*D75+$D$51*E75)+$B$51*F75)</x:f>
        <x:v>0.5920000000000001</x:v>
      </x:c>
      <x:c r="H75" s="61"/>
      <x:c r="I75" s="46"/>
      <x:c r="J75" s="42" t="n">
        <x:v>0.025</x:v>
      </x:c>
      <x:c r="K75" s="62" t="n">
        <x:v>1</x:v>
      </x:c>
      <x:c r="L75" s="20" t="n">
        <x:v>0.01899007602895693</x:v>
      </x:c>
      <x:c r="M75" s="60" t="n">
        <x:f>IF(G75="","",G75*L75)</x:f>
        <x:v>0.011242125009142503</x:v>
      </x:c>
      <x:c r="N75" s="16" t="str">
        <x:v>S109</x:v>
      </x:c>
      <x:c r="O75" s="16" t="str">
        <x:v>官方API；缓存输入按最高90%折扣；未纳入可比主图</x:v>
      </x:c>
      <x:c r="P75" s="92"/>
      <x:c r="Q75" s="92"/>
      <x:c r="R75" s="92"/>
      <x:c r="S75" s="92"/>
      <x:c r="T75" s="92"/>
    </x:row>
    <x:row r="76" ht="15" hidden="0" customHeight="1">
      <x:c r="A76" s="92"/>
      <x:c r="B76" s="92"/>
      <x:c r="C76" s="92"/>
      <x:c r="D76" s="92"/>
      <x:c r="E76" s="92"/>
      <x:c r="F76" s="92"/>
      <x:c r="G76" s="92"/>
      <x:c r="H76" s="92"/>
      <x:c r="I76" s="92"/>
      <x:c r="J76" s="92"/>
      <x:c r="K76" s="92"/>
      <x:c r="L76" s="92"/>
      <x:c r="M76" s="92"/>
      <x:c r="N76" s="92"/>
      <x:c r="O76" s="92"/>
      <x:c r="P76" s="92"/>
      <x:c r="Q76" s="92"/>
      <x:c r="R76" s="92"/>
      <x:c r="S76" s="92"/>
      <x:c r="T76" s="92"/>
    </x:row>
    <x:row r="77" ht="15" hidden="0" customHeight="1">
      <x:c r="A77" s="92"/>
      <x:c r="B77" s="92"/>
      <x:c r="C77" s="92"/>
      <x:c r="D77" s="92"/>
      <x:c r="E77" s="92"/>
      <x:c r="F77" s="92"/>
      <x:c r="G77" s="92"/>
      <x:c r="H77" s="92"/>
      <x:c r="I77" s="92"/>
      <x:c r="J77" s="92"/>
      <x:c r="K77" s="92"/>
      <x:c r="L77" s="92"/>
      <x:c r="M77" s="92"/>
      <x:c r="N77" s="92"/>
      <x:c r="O77" s="92"/>
      <x:c r="P77" s="92"/>
      <x:c r="Q77" s="92"/>
      <x:c r="R77" s="92"/>
      <x:c r="S77" s="92"/>
      <x:c r="T77" s="92"/>
    </x:row>
    <x:row r="78" ht="15" hidden="0" customHeight="1">
      <x:c r="A78" s="50" t="str">
        <x:v>最终权重合计</x:v>
      </x:c>
      <x:c r="B78" s="50" t="str"/>
      <x:c r="C78" s="50" t="str"/>
      <x:c r="D78" s="50" t="str"/>
      <x:c r="E78" s="50" t="str"/>
      <x:c r="F78" s="50" t="str"/>
      <x:c r="G78" s="50" t="str"/>
      <x:c r="H78" s="50" t="str"/>
      <x:c r="I78" s="50" t="str"/>
      <x:c r="J78" s="50" t="str"/>
      <x:c r="K78" s="50" t="str"/>
      <x:c r="L78" s="63" t="n">
        <x:f>SUM(L55:L75)</x:f>
        <x:v>1</x:v>
      </x:c>
      <x:c r="M78" s="50" t="str"/>
      <x:c r="N78" s="92"/>
      <x:c r="O78" s="92"/>
      <x:c r="P78" s="92"/>
      <x:c r="Q78" s="92"/>
      <x:c r="R78" s="92"/>
      <x:c r="S78" s="92"/>
      <x:c r="T78" s="92"/>
    </x:row>
    <x:row r="79" ht="15" hidden="0" customHeight="1">
      <x:c r="A79" s="50" t="str">
        <x:v>能力/任务价格修正后标价</x:v>
      </x:c>
      <x:c r="B79" s="50" t="str"/>
      <x:c r="C79" s="50" t="str"/>
      <x:c r="D79" s="50" t="str"/>
      <x:c r="E79" s="50" t="str"/>
      <x:c r="F79" s="50" t="str"/>
      <x:c r="G79" s="50" t="str"/>
      <x:c r="H79" s="50" t="str"/>
      <x:c r="I79" s="50" t="str"/>
      <x:c r="J79" s="50" t="str"/>
      <x:c r="K79" s="50" t="str"/>
      <x:c r="L79" s="50" t="str"/>
      <x:c r="M79" s="64" t="n">
        <x:f>SUM(M55:M75)</x:f>
        <x:v>2.702470431921252</x:v>
      </x:c>
      <x:c r="N79" s="92"/>
      <x:c r="O79" s="92"/>
      <x:c r="P79" s="92"/>
      <x:c r="Q79" s="92"/>
      <x:c r="R79" s="92"/>
      <x:c r="S79" s="92"/>
      <x:c r="T79" s="92"/>
    </x:row>
    <x:row r="80" ht="15" hidden="0" customHeight="1">
      <x:c r="A80" s="39" t="str">
        <x:v>2026E综合实现价格</x:v>
      </x:c>
      <x:c r="B80" s="39" t="str"/>
      <x:c r="C80" s="39" t="str"/>
      <x:c r="D80" s="39" t="str"/>
      <x:c r="E80" s="39" t="str"/>
      <x:c r="F80" s="39" t="str"/>
      <x:c r="G80" s="39" t="str"/>
      <x:c r="H80" s="39" t="str"/>
      <x:c r="I80" s="39" t="str"/>
      <x:c r="J80" s="39" t="str"/>
      <x:c r="K80" s="39" t="str"/>
      <x:c r="L80" s="39" t="str"/>
      <x:c r="M80" s="65" t="n">
        <x:f>M79*(1-$F$51)</x:f>
        <x:v>2.4322233887291267</x:v>
      </x:c>
      <x:c r="N80" s="92"/>
      <x:c r="O80" s="92"/>
      <x:c r="P80" s="92"/>
      <x:c r="Q80" s="92"/>
      <x:c r="R80" s="92"/>
      <x:c r="S80" s="92"/>
      <x:c r="T80" s="92"/>
    </x:row>
    <x:row r="81" ht="15" hidden="0" customHeight="1">
      <x:c r="A81" s="50" t="str">
        <x:v>相对旧价格锚调整</x:v>
      </x:c>
      <x:c r="B81" s="50" t="str"/>
      <x:c r="C81" s="50" t="str"/>
      <x:c r="D81" s="50" t="str"/>
      <x:c r="E81" s="50" t="str"/>
      <x:c r="F81" s="50" t="str"/>
      <x:c r="G81" s="50" t="str"/>
      <x:c r="H81" s="50" t="str"/>
      <x:c r="I81" s="50" t="str"/>
      <x:c r="J81" s="50" t="str"/>
      <x:c r="K81" s="50" t="str"/>
      <x:c r="L81" s="50" t="str"/>
      <x:c r="M81" s="63" t="n">
        <x:f>M80/$H$51-1</x:f>
        <x:v>-0.0645294658734128</x:v>
      </x:c>
      <x:c r="N81" s="92"/>
      <x:c r="O81" s="92"/>
      <x:c r="P81" s="92"/>
      <x:c r="Q81" s="92"/>
      <x:c r="R81" s="92"/>
      <x:c r="S81" s="92"/>
      <x:c r="T81" s="92"/>
    </x:row>
    <x:row r="82" ht="15" hidden="0" customHeight="1">
      <x:c r="A82" s="92"/>
      <x:c r="B82" s="92"/>
      <x:c r="C82" s="92"/>
      <x:c r="D82" s="92"/>
      <x:c r="E82" s="92"/>
      <x:c r="F82" s="92"/>
      <x:c r="G82" s="92"/>
      <x:c r="H82" s="92"/>
      <x:c r="I82" s="92"/>
      <x:c r="J82" s="92"/>
      <x:c r="K82" s="92"/>
      <x:c r="L82" s="92"/>
      <x:c r="M82" s="92"/>
      <x:c r="N82" s="92"/>
      <x:c r="O82" s="92"/>
      <x:c r="P82" s="92"/>
      <x:c r="Q82" s="92"/>
      <x:c r="R82" s="92"/>
      <x:c r="S82" s="92"/>
      <x:c r="T82" s="92"/>
    </x:row>
    <x:row r="83" ht="15" hidden="0" customHeight="1">
      <x:c r="A83" s="92"/>
      <x:c r="B83" s="92"/>
      <x:c r="C83" s="92"/>
      <x:c r="D83" s="92"/>
      <x:c r="E83" s="92"/>
      <x:c r="F83" s="92"/>
      <x:c r="G83" s="92"/>
      <x:c r="H83" s="92"/>
      <x:c r="I83" s="92"/>
      <x:c r="J83" s="92"/>
      <x:c r="K83" s="92"/>
      <x:c r="L83" s="92"/>
      <x:c r="M83" s="92"/>
      <x:c r="N83" s="92"/>
      <x:c r="O83" s="92"/>
      <x:c r="P83" s="92"/>
      <x:c r="Q83" s="92"/>
      <x:c r="R83" s="92"/>
      <x:c r="S83" s="92"/>
      <x:c r="T83" s="92"/>
    </x:row>
    <x:row r="84" ht="21.600000381469727" hidden="0" customHeight="1">
      <x:c r="A84" s="16" t="str">
        <x:v>综合公式</x:v>
      </x:c>
      <x:c r="B84" s="16" t="str">
        <x:v>第一步：单模型标准化综合价格＝80%×[70%×输入价格＋30%×缓存输入价格]＋20%×输出价格。第二步：路线内基础分布权重×能力/综合单任务价格调整系数；调整系数＝(AA能力指数÷55)^0.35×(0.75美元÷AA综合单任务价格)^0.12，并限制在0.75—1.35倍。第三步：按2026E闭源72%、开放权重28%的外部可计费Token路线份额归一，再扣10%批量、企业合同与承诺用量折扣。第四步：2027E以后在基础价格年降22%的同时，将开放权重路线份额由28%逐步提高至48%。</x:v>
      </x:c>
      <x:c r="C84" s="16" t="str"/>
      <x:c r="D84" s="16" t="str"/>
      <x:c r="E84" s="16" t="str"/>
      <x:c r="F84" s="16" t="str"/>
      <x:c r="G84" s="16" t="str"/>
      <x:c r="H84" s="16" t="str"/>
      <x:c r="I84" s="16" t="str"/>
      <x:c r="J84" s="16" t="str"/>
      <x:c r="K84" s="16" t="str"/>
      <x:c r="L84" s="16" t="str"/>
      <x:c r="M84" s="16" t="str"/>
      <x:c r="N84" s="16" t="str"/>
      <x:c r="O84" s="16" t="str"/>
      <x:c r="P84" s="92"/>
      <x:c r="Q84" s="92"/>
      <x:c r="R84" s="92"/>
      <x:c r="S84" s="92"/>
      <x:c r="T84" s="92"/>
    </x:row>
    <x:row r="85" ht="15" hidden="0" customHeight="1">
      <x:c r="A85" s="16" t="str">
        <x:v>回报传导</x:v>
      </x:c>
      <x:c r="B85" s="16" t="str">
        <x:v>以2.60美元原始价格锚与Artificial Analysis v4.1.1同口径校准后的路线混合价格路径比较，按当年模型/API与云AI收入结构回写这两类基准路径；订阅、训练容量、预留实例、平台费和私有部署托管保持不变，再按原终端计入率完成供应链去重。2026E综合实现价格为2.43美元/百万Token；中长期同时反映同路线基础降价与开放权重路线份额提升。</x:v>
      </x:c>
      <x:c r="C85" s="16" t="str"/>
      <x:c r="D85" s="16" t="str"/>
      <x:c r="E85" s="16" t="str"/>
      <x:c r="F85" s="16" t="str"/>
      <x:c r="G85" s="16" t="str"/>
      <x:c r="H85" s="16" t="str"/>
      <x:c r="I85" s="16" t="str"/>
      <x:c r="J85" s="16" t="str"/>
      <x:c r="K85" s="16" t="str"/>
      <x:c r="L85" s="16" t="str"/>
      <x:c r="M85" s="16" t="str"/>
      <x:c r="N85" s="16" t="str"/>
      <x:c r="O85" s="16" t="str"/>
      <x:c r="P85" s="92"/>
      <x:c r="Q85" s="92"/>
      <x:c r="R85" s="92"/>
      <x:c r="S85" s="92"/>
      <x:c r="T85" s="92"/>
    </x:row>
    <x:row r="86" ht="15" hidden="0" customHeight="1">
      <x:c r="A86" s="16" t="str">
        <x:v>解释</x:v>
      </x:c>
      <x:c r="B86" s="16" t="str">
        <x:v>开放权重模型的权重许可通常不按Token收费；使用官方或一手云平台托管推理价格。Artificial Analysis综合单任务价格仅以0.12弹性温和修正权重，避免把单一评测榜单直接当市场份额。GLM-5.3在统一价格与Artificial Analysis通用能力数据齐备前权重为0。</x:v>
      </x:c>
      <x:c r="C86" s="16" t="str"/>
      <x:c r="D86" s="16" t="str"/>
      <x:c r="E86" s="16" t="str"/>
      <x:c r="F86" s="16" t="str"/>
      <x:c r="G86" s="16" t="str"/>
      <x:c r="H86" s="16" t="str"/>
      <x:c r="I86" s="16" t="str"/>
      <x:c r="J86" s="16" t="str"/>
      <x:c r="K86" s="16" t="str"/>
      <x:c r="L86" s="16" t="str"/>
      <x:c r="M86" s="16" t="str"/>
      <x:c r="N86" s="16" t="str"/>
      <x:c r="O86" s="16" t="str"/>
      <x:c r="P86" s="92"/>
      <x:c r="Q86" s="92"/>
      <x:c r="R86" s="92"/>
      <x:c r="S86" s="92"/>
      <x:c r="T86" s="92"/>
    </x:row>
    <x:row r="87" ht="15" hidden="0" customHeight="1">
      <x:c r="A87" s="29" t="str">
        <x:v>Artificial Analysis能力前沿、综合单任务价格与开放权重路线传导</x:v>
      </x:c>
      <x:c r="B87" s="29" t="str">
        <x:v>Artificial Analysis能力前沿、综合单任务价格与开放权重路线传导</x:v>
      </x:c>
      <x:c r="C87" s="29" t="str">
        <x:v>Artificial Analysis能力前沿、综合单任务价格与开放权重路线传导</x:v>
      </x:c>
      <x:c r="D87" s="29" t="str">
        <x:v>Artificial Analysis能力前沿、综合单任务价格与开放权重路线传导</x:v>
      </x:c>
      <x:c r="E87" s="29" t="str">
        <x:v>Artificial Analysis能力前沿、综合单任务价格与开放权重路线传导</x:v>
      </x:c>
      <x:c r="F87" s="29" t="str">
        <x:v>Artificial Analysis能力前沿、综合单任务价格与开放权重路线传导</x:v>
      </x:c>
      <x:c r="G87" s="29" t="str">
        <x:v>Artificial Analysis能力前沿、综合单任务价格与开放权重路线传导</x:v>
      </x:c>
      <x:c r="H87" s="29" t="str">
        <x:v>Artificial Analysis能力前沿、综合单任务价格与开放权重路线传导</x:v>
      </x:c>
      <x:c r="I87" s="29" t="str">
        <x:v>Artificial Analysis能力前沿、综合单任务价格与开放权重路线传导</x:v>
      </x:c>
      <x:c r="J87" s="29" t="str">
        <x:v>Artificial Analysis能力前沿、综合单任务价格与开放权重路线传导</x:v>
      </x:c>
      <x:c r="K87" s="29" t="str">
        <x:v>Artificial Analysis能力前沿、综合单任务价格与开放权重路线传导</x:v>
      </x:c>
      <x:c r="L87" s="29" t="str">
        <x:v>Artificial Analysis能力前沿、综合单任务价格与开放权重路线传导</x:v>
      </x:c>
      <x:c r="M87" s="29" t="str">
        <x:v>Artificial Analysis能力前沿、综合单任务价格与开放权重路线传导</x:v>
      </x:c>
      <x:c r="N87" s="29" t="str">
        <x:v>Artificial Analysis能力前沿、综合单任务价格与开放权重路线传导</x:v>
      </x:c>
      <x:c r="O87" s="29" t="str">
        <x:v>Artificial Analysis能力前沿、综合单任务价格与开放权重路线传导</x:v>
      </x:c>
      <x:c r="P87" s="92"/>
      <x:c r="Q87" s="92"/>
      <x:c r="R87" s="92"/>
      <x:c r="S87" s="92"/>
      <x:c r="T87" s="92"/>
    </x:row>
    <x:row r="88" ht="15" hidden="0" customHeight="1">
      <x:c r="A88" s="92"/>
      <x:c r="B88" s="92"/>
      <x:c r="C88" s="92"/>
      <x:c r="D88" s="92"/>
      <x:c r="E88" s="92"/>
      <x:c r="F88" s="92"/>
      <x:c r="G88" s="92"/>
      <x:c r="H88" s="92"/>
      <x:c r="I88" s="92"/>
      <x:c r="J88" s="92"/>
      <x:c r="K88" s="92"/>
      <x:c r="L88" s="92"/>
      <x:c r="M88" s="92"/>
      <x:c r="N88" s="92"/>
      <x:c r="O88" s="92"/>
      <x:c r="P88" s="92"/>
      <x:c r="Q88" s="92"/>
      <x:c r="R88" s="92"/>
      <x:c r="S88" s="92"/>
      <x:c r="T88" s="92"/>
    </x:row>
    <x:row r="89" ht="21.600000381469727" hidden="0" customHeight="1">
      <x:c r="A89" s="12" t="str">
        <x:v>时期</x:v>
      </x:c>
      <x:c r="B89" s="12" t="str">
        <x:v>闭源前沿模型</x:v>
      </x:c>
      <x:c r="C89" s="12" t="str">
        <x:v>闭源AA能力</x:v>
      </x:c>
      <x:c r="D89" s="12" t="str">
        <x:v>开放权重前沿模型</x:v>
      </x:c>
      <x:c r="E89" s="12" t="str">
        <x:v>开放AA能力</x:v>
      </x:c>
      <x:c r="F89" s="12" t="str">
        <x:v>能力差距</x:v>
      </x:c>
      <x:c r="G89" s="12" t="str">
        <x:v>AA指数版本</x:v>
      </x:c>
      <x:c r="H89" s="92"/>
      <x:c r="I89" s="92"/>
      <x:c r="J89" s="12" t="str">
        <x:v>路线</x:v>
      </x:c>
      <x:c r="K89" s="12" t="str">
        <x:v>模型</x:v>
      </x:c>
      <x:c r="L89" s="12" t="str">
        <x:v>AA能力</x:v>
      </x:c>
      <x:c r="M89" s="12" t="str">
        <x:v>综合单任务价格（美元/任务）</x:v>
      </x:c>
      <x:c r="N89" s="92"/>
      <x:c r="O89" s="92"/>
      <x:c r="P89" s="92"/>
      <x:c r="Q89" s="92"/>
      <x:c r="R89" s="92"/>
      <x:c r="S89" s="92"/>
      <x:c r="T89" s="92"/>
    </x:row>
    <x:row r="90" ht="15" hidden="0" customHeight="1">
      <x:c r="A90" s="16" t="str">
        <x:v>2025.03</x:v>
      </x:c>
      <x:c r="B90" s="16" t="str">
        <x:v>Claude 3.7 Sonnet</x:v>
      </x:c>
      <x:c r="C90" s="16" t="n">
        <x:v>35</x:v>
      </x:c>
      <x:c r="D90" s="16" t="str">
        <x:v>DeepSeek V3 0324</x:v>
      </x:c>
      <x:c r="E90" s="16" t="n">
        <x:v>22</x:v>
      </x:c>
      <x:c r="F90" s="16" t="n">
        <x:v>13</x:v>
      </x:c>
      <x:c r="G90" s="16" t="str">
        <x:v>当期AA指数</x:v>
      </x:c>
      <x:c r="H90" s="92"/>
      <x:c r="I90" s="92"/>
      <x:c r="J90" s="16" t="str">
        <x:v>闭源</x:v>
      </x:c>
      <x:c r="K90" s="16" t="str">
        <x:v>Claude Opus 5</x:v>
      </x:c>
      <x:c r="L90" s="16" t="n">
        <x:v>63.0532452071291</x:v>
      </x:c>
      <x:c r="M90" s="46" t="n">
        <x:v>2.3368592081245625</x:v>
      </x:c>
      <x:c r="N90" s="92"/>
      <x:c r="O90" s="92"/>
      <x:c r="P90" s="92"/>
      <x:c r="Q90" s="92"/>
      <x:c r="R90" s="92"/>
      <x:c r="S90" s="92"/>
      <x:c r="T90" s="92"/>
    </x:row>
    <x:row r="91" ht="15" hidden="0" customHeight="1">
      <x:c r="A91" s="16" t="str">
        <x:v>2026.04</x:v>
      </x:c>
      <x:c r="B91" s="16" t="str">
        <x:v>GPT-5.5</x:v>
      </x:c>
      <x:c r="C91" s="16" t="n">
        <x:v>60</x:v>
      </x:c>
      <x:c r="D91" s="16" t="str">
        <x:v>Kimi K2.6</x:v>
      </x:c>
      <x:c r="E91" s="16" t="n">
        <x:v>54</x:v>
      </x:c>
      <x:c r="F91" s="16" t="n">
        <x:v>6</x:v>
      </x:c>
      <x:c r="G91" s="16" t="str">
        <x:v>AA v4.0</x:v>
      </x:c>
      <x:c r="H91" s="92"/>
      <x:c r="I91" s="92"/>
      <x:c r="J91" s="16" t="str">
        <x:v>闭源</x:v>
      </x:c>
      <x:c r="K91" s="16" t="str">
        <x:v>Claude Fable 5</x:v>
      </x:c>
      <x:c r="L91" s="16" t="n">
        <x:v>62.0726622017462</x:v>
      </x:c>
      <x:c r="M91" s="46" t="n">
        <x:v>3.139584292089737</x:v>
      </x:c>
      <x:c r="N91" s="92"/>
      <x:c r="O91" s="92"/>
      <x:c r="P91" s="92"/>
      <x:c r="Q91" s="92"/>
      <x:c r="R91" s="92"/>
      <x:c r="S91" s="92"/>
      <x:c r="T91" s="92"/>
    </x:row>
    <x:row r="92" ht="15" hidden="0" customHeight="1">
      <x:c r="A92" s="16" t="str">
        <x:v>2026.06</x:v>
      </x:c>
      <x:c r="B92" s="16" t="str">
        <x:v>Claude Opus 5</x:v>
      </x:c>
      <x:c r="C92" s="16" t="n">
        <x:v>61</x:v>
      </x:c>
      <x:c r="D92" s="16" t="str">
        <x:v>GLM-5.2</x:v>
      </x:c>
      <x:c r="E92" s="16" t="n">
        <x:v>51</x:v>
      </x:c>
      <x:c r="F92" s="16" t="n">
        <x:v>10</x:v>
      </x:c>
      <x:c r="G92" s="16" t="str">
        <x:v>AA v4.1</x:v>
      </x:c>
      <x:c r="H92" s="92"/>
      <x:c r="I92" s="92"/>
      <x:c r="J92" s="16" t="str">
        <x:v>闭源</x:v>
      </x:c>
      <x:c r="K92" s="16" t="str">
        <x:v>GPT-5.6 Sol</x:v>
      </x:c>
      <x:c r="L92" s="16" t="n">
        <x:v>60.9298701329203</x:v>
      </x:c>
      <x:c r="M92" s="46" t="n">
        <x:v>1.2312110558767355</x:v>
      </x:c>
      <x:c r="N92" s="92"/>
      <x:c r="O92" s="92"/>
      <x:c r="P92" s="92"/>
      <x:c r="Q92" s="92"/>
      <x:c r="R92" s="92"/>
      <x:c r="S92" s="92"/>
      <x:c r="T92" s="92"/>
    </x:row>
    <x:row r="93" ht="15" hidden="0" customHeight="1">
      <x:c r="A93" s="16" t="str">
        <x:v>2026.07</x:v>
      </x:c>
      <x:c r="B93" s="16" t="str">
        <x:v>Claude Opus 5</x:v>
      </x:c>
      <x:c r="C93" s="16" t="n">
        <x:v>61</x:v>
      </x:c>
      <x:c r="D93" s="16" t="str">
        <x:v>Kimi K3</x:v>
      </x:c>
      <x:c r="E93" s="16" t="n">
        <x:v>57</x:v>
      </x:c>
      <x:c r="F93" s="16" t="n">
        <x:v>4</x:v>
      </x:c>
      <x:c r="G93" s="16" t="str">
        <x:v>AA v4.1</x:v>
      </x:c>
      <x:c r="H93" s="92"/>
      <x:c r="I93" s="92"/>
      <x:c r="J93" s="16" t="str">
        <x:v>开放权重</x:v>
      </x:c>
      <x:c r="K93" s="16" t="str">
        <x:v>Kimi K3</x:v>
      </x:c>
      <x:c r="L93" s="16" t="n">
        <x:v>59.6994671342592</x:v>
      </x:c>
      <x:c r="M93" s="46" t="n">
        <x:v>0.8374574917584584</x:v>
      </x:c>
      <x:c r="N93" s="92"/>
      <x:c r="O93" s="92"/>
      <x:c r="P93" s="92"/>
      <x:c r="Q93" s="92"/>
      <x:c r="R93" s="92"/>
      <x:c r="S93" s="92"/>
      <x:c r="T93" s="92"/>
    </x:row>
    <x:row r="94" ht="15" hidden="0" customHeight="1">
      <x:c r="A94" s="16" t="str">
        <x:v>2026.08</x:v>
      </x:c>
      <x:c r="B94" s="16" t="str">
        <x:v>Claude Opus 5</x:v>
      </x:c>
      <x:c r="C94" s="16" t="n">
        <x:v>63</x:v>
      </x:c>
      <x:c r="D94" s="16" t="str">
        <x:v>Kimi K3</x:v>
      </x:c>
      <x:c r="E94" s="16" t="n">
        <x:v>60</x:v>
      </x:c>
      <x:c r="F94" s="16" t="n">
        <x:v>3</x:v>
      </x:c>
      <x:c r="G94" s="16" t="str">
        <x:v>AA v4.1.1</x:v>
      </x:c>
      <x:c r="H94" s="92"/>
      <x:c r="I94" s="92"/>
      <x:c r="J94" s="16" t="str">
        <x:v>闭源</x:v>
      </x:c>
      <x:c r="K94" s="16" t="str">
        <x:v>GPT-5.6 Terra</x:v>
      </x:c>
      <x:c r="L94" s="16" t="n">
        <x:v>56.5755675890213</x:v>
      </x:c>
      <x:c r="M94" s="46" t="n">
        <x:v>0.5080188911299259</x:v>
      </x:c>
      <x:c r="N94" s="92"/>
      <x:c r="O94" s="92"/>
      <x:c r="P94" s="92"/>
      <x:c r="Q94" s="92"/>
      <x:c r="R94" s="92"/>
      <x:c r="S94" s="92"/>
      <x:c r="T94" s="92"/>
    </x:row>
    <x:row r="95" ht="15" hidden="0" customHeight="1">
      <x:c r="A95" s="92"/>
      <x:c r="B95" s="92"/>
      <x:c r="C95" s="92"/>
      <x:c r="D95" s="92"/>
      <x:c r="E95" s="92"/>
      <x:c r="F95" s="92"/>
      <x:c r="G95" s="92"/>
      <x:c r="H95" s="92"/>
      <x:c r="I95" s="92"/>
      <x:c r="J95" s="16" t="str">
        <x:v>闭源</x:v>
      </x:c>
      <x:c r="K95" s="16" t="str">
        <x:v>Claude Sonnet 5</x:v>
      </x:c>
      <x:c r="L95" s="16" t="n">
        <x:v>55.261211717405</x:v>
      </x:c>
      <x:c r="M95" s="46" t="n">
        <x:v>1.717266743264445</x:v>
      </x:c>
      <x:c r="N95" s="92"/>
      <x:c r="O95" s="92"/>
      <x:c r="P95" s="92"/>
      <x:c r="Q95" s="92"/>
      <x:c r="R95" s="92"/>
      <x:c r="S95" s="92"/>
      <x:c r="T95" s="92"/>
    </x:row>
    <x:row r="96" ht="21.600000381469727" hidden="0" customHeight="1">
      <x:c r="A96" s="92"/>
      <x:c r="B96" s="92"/>
      <x:c r="C96" s="92"/>
      <x:c r="D96" s="92"/>
      <x:c r="E96" s="92"/>
      <x:c r="F96" s="92"/>
      <x:c r="G96" s="92"/>
      <x:c r="H96" s="92"/>
      <x:c r="I96" s="92"/>
      <x:c r="J96" s="16" t="str">
        <x:v>开放权重</x:v>
      </x:c>
      <x:c r="K96" s="16" t="str">
        <x:v>DeepSeek V4 Pro 0813</x:v>
      </x:c>
      <x:c r="L96" s="16" t="n">
        <x:v>53.1976849297815</x:v>
      </x:c>
      <x:c r="M96" s="46" t="n">
        <x:v>0.2520714190687621</x:v>
      </x:c>
      <x:c r="N96" s="92"/>
      <x:c r="O96" s="92"/>
      <x:c r="P96" s="92"/>
      <x:c r="Q96" s="92"/>
      <x:c r="R96" s="92"/>
      <x:c r="S96" s="92"/>
      <x:c r="T96" s="92"/>
    </x:row>
    <x:row r="97" ht="15" hidden="0" customHeight="1">
      <x:c r="A97" s="92"/>
      <x:c r="B97" s="92"/>
      <x:c r="C97" s="92"/>
      <x:c r="D97" s="92"/>
      <x:c r="E97" s="92"/>
      <x:c r="F97" s="92"/>
      <x:c r="G97" s="92"/>
      <x:c r="H97" s="92"/>
      <x:c r="I97" s="92"/>
      <x:c r="J97" s="16" t="str">
        <x:v>开放权重</x:v>
      </x:c>
      <x:c r="K97" s="16" t="str">
        <x:v>GLM-5.2</x:v>
      </x:c>
      <x:c r="L97" s="16" t="n">
        <x:v>52.6409563457385</x:v>
      </x:c>
      <x:c r="M97" s="46" t="n">
        <x:v>0.3345801727010051</x:v>
      </x:c>
      <x:c r="N97" s="92"/>
      <x:c r="O97" s="92"/>
      <x:c r="P97" s="92"/>
      <x:c r="Q97" s="92"/>
      <x:c r="R97" s="92"/>
      <x:c r="S97" s="92"/>
      <x:c r="T97" s="92"/>
    </x:row>
    <x:row r="98" ht="15" hidden="0" customHeight="1">
      <x:c r="A98" s="92"/>
      <x:c r="B98" s="92"/>
      <x:c r="C98" s="92"/>
      <x:c r="D98" s="92"/>
      <x:c r="E98" s="92"/>
      <x:c r="F98" s="92"/>
      <x:c r="G98" s="92"/>
      <x:c r="H98" s="92"/>
      <x:c r="I98" s="92"/>
      <x:c r="J98" s="16" t="str">
        <x:v>闭源</x:v>
      </x:c>
      <x:c r="K98" s="16" t="str">
        <x:v>GPT-5.6 Luna</x:v>
      </x:c>
      <x:c r="L98" s="16" t="n">
        <x:v>52.3180827840984</x:v>
      </x:c>
      <x:c r="M98" s="46" t="n">
        <x:v>0.047127533600050245</x:v>
      </x:c>
      <x:c r="N98" s="92"/>
      <x:c r="O98" s="92"/>
      <x:c r="P98" s="92"/>
      <x:c r="Q98" s="92"/>
      <x:c r="R98" s="92"/>
      <x:c r="S98" s="92"/>
      <x:c r="T98" s="92"/>
    </x:row>
    <x:row r="99" ht="15" hidden="0" customHeight="1">
      <x:c r="A99" s="92"/>
      <x:c r="B99" s="92"/>
      <x:c r="C99" s="92"/>
      <x:c r="D99" s="92"/>
      <x:c r="E99" s="92"/>
      <x:c r="F99" s="92"/>
      <x:c r="G99" s="92"/>
      <x:c r="H99" s="92"/>
      <x:c r="I99" s="92"/>
      <x:c r="J99" s="16" t="str">
        <x:v>闭源</x:v>
      </x:c>
      <x:c r="K99" s="16" t="str">
        <x:v>Gemini 3.6 Flash</x:v>
      </x:c>
      <x:c r="L99" s="16" t="n">
        <x:v>51.5819376989529</x:v>
      </x:c>
      <x:c r="M99" s="46" t="n">
        <x:v>0.3441738148343059</x:v>
      </x:c>
      <x:c r="N99" s="92"/>
      <x:c r="O99" s="92"/>
      <x:c r="P99" s="92"/>
      <x:c r="Q99" s="92"/>
      <x:c r="R99" s="92"/>
      <x:c r="S99" s="92"/>
      <x:c r="T99" s="92"/>
    </x:row>
    <x:row r="100" ht="15" hidden="0" customHeight="1">
      <x:c r="A100" s="92"/>
      <x:c r="B100" s="92"/>
      <x:c r="C100" s="92"/>
      <x:c r="D100" s="92"/>
      <x:c r="E100" s="92"/>
      <x:c r="F100" s="92"/>
      <x:c r="G100" s="92"/>
      <x:c r="H100" s="92"/>
      <x:c r="I100" s="92"/>
      <x:c r="J100" s="16" t="str">
        <x:v>开放权重</x:v>
      </x:c>
      <x:c r="K100" s="16" t="str">
        <x:v>MiniMax M3</x:v>
      </x:c>
      <x:c r="L100" s="16" t="n">
        <x:v>45.3968506399702</x:v>
      </x:c>
      <x:c r="M100" s="46" t="n">
        <x:v>0.13870974901890812</x:v>
      </x:c>
      <x:c r="N100" s="92"/>
      <x:c r="O100" s="92"/>
      <x:c r="P100" s="92"/>
      <x:c r="Q100" s="92"/>
      <x:c r="R100" s="92"/>
      <x:c r="S100" s="92"/>
      <x:c r="T100" s="92"/>
    </x:row>
    <x:row r="101" ht="15" hidden="0" customHeight="1">
      <x:c r="A101" s="92"/>
      <x:c r="B101" s="92"/>
      <x:c r="C101" s="92"/>
      <x:c r="D101" s="92"/>
      <x:c r="E101" s="92"/>
      <x:c r="F101" s="92"/>
      <x:c r="G101" s="92"/>
      <x:c r="H101" s="92"/>
      <x:c r="I101" s="92"/>
      <x:c r="J101" s="92"/>
      <x:c r="K101" s="92"/>
      <x:c r="L101" s="92"/>
      <x:c r="M101" s="92"/>
      <x:c r="N101" s="92"/>
      <x:c r="O101" s="92"/>
      <x:c r="P101" s="92"/>
      <x:c r="Q101" s="92"/>
      <x:c r="R101" s="92"/>
      <x:c r="S101" s="92"/>
      <x:c r="T101" s="92"/>
    </x:row>
    <x:row r="102" ht="15" hidden="0" customHeight="1">
      <x:c r="A102" s="92"/>
      <x:c r="B102" s="92"/>
      <x:c r="C102" s="92"/>
      <x:c r="D102" s="92"/>
      <x:c r="E102" s="92"/>
      <x:c r="F102" s="92"/>
      <x:c r="G102" s="92"/>
      <x:c r="H102" s="92"/>
      <x:c r="I102" s="92"/>
      <x:c r="J102" s="92"/>
      <x:c r="K102" s="92"/>
      <x:c r="L102" s="92"/>
      <x:c r="M102" s="92"/>
      <x:c r="N102" s="92"/>
      <x:c r="O102" s="92"/>
      <x:c r="P102" s="92"/>
      <x:c r="Q102" s="92"/>
      <x:c r="R102" s="92"/>
      <x:c r="S102" s="92"/>
      <x:c r="T102" s="92"/>
    </x:row>
    <x:row r="103" ht="15" hidden="0" customHeight="1">
      <x:c r="A103" s="12" t="str">
        <x:v>路线份额/价格路径</x:v>
      </x:c>
      <x:c r="B103" s="12" t="str">
        <x:v>2026E</x:v>
      </x:c>
      <x:c r="C103" s="12" t="str">
        <x:v>2027E</x:v>
      </x:c>
      <x:c r="D103" s="12" t="str">
        <x:v>2028E</x:v>
      </x:c>
      <x:c r="E103" s="12" t="str">
        <x:v>2029E</x:v>
      </x:c>
      <x:c r="F103" s="12" t="str">
        <x:v>2030E</x:v>
      </x:c>
      <x:c r="G103" s="92"/>
      <x:c r="H103" s="92"/>
      <x:c r="I103" s="92"/>
      <x:c r="J103" s="92"/>
      <x:c r="K103" s="92"/>
      <x:c r="L103" s="92"/>
      <x:c r="M103" s="92"/>
      <x:c r="N103" s="92"/>
      <x:c r="O103" s="92"/>
      <x:c r="P103" s="92"/>
      <x:c r="Q103" s="92"/>
      <x:c r="R103" s="92"/>
      <x:c r="S103" s="92"/>
      <x:c r="T103" s="92"/>
    </x:row>
    <x:row r="104" ht="21.600000381469727" hidden="0" customHeight="1">
      <x:c r="A104" s="16" t="str">
        <x:v>开放权重外部可计费Token份额</x:v>
      </x:c>
      <x:c r="B104" s="42" t="n">
        <x:v>0.28</x:v>
      </x:c>
      <x:c r="C104" s="42" t="n">
        <x:v>0.33</x:v>
      </x:c>
      <x:c r="D104" s="42" t="n">
        <x:v>0.38</x:v>
      </x:c>
      <x:c r="E104" s="42" t="n">
        <x:v>0.43</x:v>
      </x:c>
      <x:c r="F104" s="42" t="n">
        <x:v>0.48</x:v>
      </x:c>
      <x:c r="G104" s="92"/>
      <x:c r="H104" s="92"/>
      <x:c r="I104" s="92"/>
      <x:c r="J104" s="92"/>
      <x:c r="K104" s="92"/>
      <x:c r="L104" s="92"/>
      <x:c r="M104" s="92"/>
      <x:c r="N104" s="92"/>
      <x:c r="O104" s="92"/>
      <x:c r="P104" s="92"/>
      <x:c r="Q104" s="92"/>
      <x:c r="R104" s="92"/>
      <x:c r="S104" s="92"/>
      <x:c r="T104" s="92"/>
    </x:row>
    <x:row r="105" ht="15" hidden="0" customHeight="1">
      <x:c r="A105" s="16" t="str">
        <x:v>闭源外部可计费Token份额</x:v>
      </x:c>
      <x:c r="B105" s="42" t="n">
        <x:v>0.72</x:v>
      </x:c>
      <x:c r="C105" s="42" t="n">
        <x:v>0.67</x:v>
      </x:c>
      <x:c r="D105" s="42" t="n">
        <x:v>0.62</x:v>
      </x:c>
      <x:c r="E105" s="42" t="n">
        <x:v>0.57</x:v>
      </x:c>
      <x:c r="F105" s="42" t="n">
        <x:v>0.52</x:v>
      </x:c>
      <x:c r="G105" s="92"/>
      <x:c r="H105" s="92"/>
      <x:c r="I105" s="92"/>
      <x:c r="J105" s="92"/>
      <x:c r="K105" s="92"/>
      <x:c r="L105" s="92"/>
      <x:c r="M105" s="92"/>
      <x:c r="N105" s="92"/>
      <x:c r="O105" s="92"/>
      <x:c r="P105" s="92"/>
      <x:c r="Q105" s="92"/>
      <x:c r="R105" s="92"/>
      <x:c r="S105" s="92"/>
      <x:c r="T105" s="92"/>
    </x:row>
    <x:row r="106" ht="15" hidden="0" customHeight="1">
      <x:c r="A106" s="16" t="str">
        <x:v>综合实现价格</x:v>
      </x:c>
      <x:c r="B106" s="46" t="n">
        <x:v>2.4322233887291267</x:v>
      </x:c>
      <x:c r="C106" s="46" t="n">
        <x:v>1.8460974508268229</x:v>
      </x:c>
      <x:c r="D106" s="46" t="n">
        <x:v>1.4001473135870428</x:v>
      </x:c>
      <x:c r="E106" s="46" t="n">
        <x:v>1.0610641201127475</x:v>
      </x:c>
      <x:c r="F106" s="46" t="n">
        <x:v>0.8034104017895296</x:v>
      </x:c>
      <x:c r="G106" s="92"/>
      <x:c r="H106" s="92"/>
      <x:c r="I106" s="92"/>
      <x:c r="J106" s="92"/>
      <x:c r="K106" s="92"/>
      <x:c r="L106" s="92"/>
      <x:c r="M106" s="92"/>
      <x:c r="N106" s="92"/>
      <x:c r="O106" s="92"/>
      <x:c r="P106" s="92"/>
      <x:c r="Q106" s="92"/>
      <x:c r="R106" s="92"/>
      <x:c r="S106" s="92"/>
      <x:c r="T106" s="92"/>
    </x:row>
  </x:sheetData>
  <x:mergeCells>
    <x:mergeCell ref="A1:G1"/>
    <x:mergeCell ref="A2:G2"/>
    <x:mergeCell ref="A22:F22"/>
    <x:mergeCell ref="A35:F35"/>
    <x:mergeCell ref="B44:F44"/>
    <x:mergeCell ref="B45:F45"/>
    <x:mergeCell ref="B46:F46"/>
    <x:mergeCell ref="A49:O49"/>
    <x:mergeCell ref="J51:O51"/>
    <x:mergeCell ref="A52:O52"/>
    <x:mergeCell ref="B84:O84"/>
    <x:mergeCell ref="B85:O85"/>
    <x:mergeCell ref="B86:O86"/>
    <x:mergeCell ref="A87:O87"/>
  </x:mergeCells>
  <x:conditionalFormatting sqref="A55:A75">
    <x:cfRule type="containsText" dxfId="0" priority="1" operator="containsText" text="闭源"/>
    <x:cfRule type="containsText" dxfId="1" priority="2" operator="containsText" text="开放权重"/>
  </x:conditionalFormatting>
  <x:pageMargins left="0.7" right="0.7" top="0.75" bottom="0.75" header="0.3" footer="0.3"/>
  <x:drawing xmlns:r="http://schemas.openxmlformats.org/officeDocument/2006/relationships" r:id="Rd3d1110f28314d9b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1" max="21" width="0.5" hidden="0" customWidth="1"/>
    <x:col min="22" max="22" width="0.5" hidden="0" customWidth="1"/>
    <x:col min="1" max="1" width="24" hidden="0" customWidth="1"/>
    <x:col min="2" max="2" width="16" hidden="0" customWidth="1"/>
    <x:col min="3" max="3" width="16" hidden="0" customWidth="1"/>
    <x:col min="4" max="4" width="30" hidden="0" customWidth="1"/>
    <x:col min="5" max="5" width="38" hidden="0" customWidth="1"/>
    <x:col min="6" max="6" width="16" hidden="0" customWidth="1"/>
    <x:col min="7" max="7" width="25" hidden="0" customWidth="1"/>
    <x:col min="8" max="8" width="34" hidden="0" customWidth="1"/>
    <x:col min="9" max="9" width="34" hidden="0" customWidth="1"/>
    <x:col min="10" max="10" width="28" hidden="0" customWidth="1"/>
    <x:col min="11" max="11" width="20" hidden="0" customWidth="1"/>
    <x:col min="12" max="12" width="42" hidden="0" customWidth="1"/>
    <x:col min="13" max="13" width="3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</x:cols>
  <x:sheetData>
    <x:row r="1" ht="21.600000381469727" hidden="0" customHeight="1">
      <x:c r="A1" s="3" t="str">
        <x:v>工作流桥｜当前任务经济性、生产级扩散与总量回报</x:v>
      </x:c>
      <x:c r="B1" s="3" t="str">
        <x:v>工作流桥｜当前任务经济性、生产级扩散与总量回报</x:v>
      </x:c>
      <x:c r="C1" s="3" t="str">
        <x:v>工作流桥｜当前任务经济性、生产级扩散与总量回报</x:v>
      </x:c>
      <x:c r="D1" s="3" t="str">
        <x:v>工作流桥｜当前任务经济性、生产级扩散与总量回报</x:v>
      </x:c>
      <x:c r="E1" s="3" t="str">
        <x:v>工作流桥｜当前任务经济性、生产级扩散与总量回报</x:v>
      </x:c>
      <x:c r="F1" s="3" t="str">
        <x:v>工作流桥｜当前任务经济性、生产级扩散与总量回报</x:v>
      </x:c>
      <x:c r="G1" s="3" t="str">
        <x:v>工作流桥｜当前任务经济性、生产级扩散与总量回报</x:v>
      </x:c>
      <x:c r="H1" s="3" t="str">
        <x:v>工作流桥｜当前任务经济性、生产级扩散与总量回报</x:v>
      </x:c>
      <x:c r="I1" s="3" t="str">
        <x:v>工作流桥｜当前任务经济性、生产级扩散与总量回报</x:v>
      </x:c>
      <x:c r="J1" s="3" t="str">
        <x:v>工作流桥｜当前任务经济性、生产级扩散与总量回报</x:v>
      </x:c>
      <x:c r="K1" s="3" t="str">
        <x:v>工作流桥｜当前任务经济性、生产级扩散与总量回报</x:v>
      </x:c>
      <x:c r="L1" s="3" t="str">
        <x:v>工作流桥｜当前任务经济性、生产级扩散与总量回报</x:v>
      </x:c>
      <x:c r="M1" s="92"/>
      <x:c r="N1" s="92"/>
      <x:c r="O1" s="92"/>
      <x:c r="P1" s="92"/>
      <x:c r="Q1" s="92"/>
      <x:c r="R1" s="92"/>
      <x:c r="S1" s="92"/>
      <x:c r="T1" s="92"/>
      <x:c r="U1" s="92"/>
      <x:c r="V1" s="92"/>
    </x:row>
    <x:row r="2" ht="15" hidden="0" customHeight="1">
      <x:c r="A2" s="7" t="str">
        <x:v>高盛任务成本为2026年当前锚点，不包含2030年采用率；八类工作场景由本研究映射到Token、外部收入和企业内部效率。企业工作场景相关有效Token指数仅作诊断，不重复加计收入。</x:v>
      </x:c>
      <x:c r="B2" s="7" t="str">
        <x:v>高盛任务成本为2026年当前锚点，不包含2030年采用率；八类工作场景由本研究映射到Token、外部收入和企业内部效率。企业工作场景相关有效Token指数仅作诊断，不重复加计收入。</x:v>
      </x:c>
      <x:c r="C2" s="7" t="str">
        <x:v>高盛任务成本为2026年当前锚点，不包含2030年采用率；八类工作场景由本研究映射到Token、外部收入和企业内部效率。企业工作场景相关有效Token指数仅作诊断，不重复加计收入。</x:v>
      </x:c>
      <x:c r="D2" s="7" t="str">
        <x:v>高盛任务成本为2026年当前锚点，不包含2030年采用率；八类工作场景由本研究映射到Token、外部收入和企业内部效率。企业工作场景相关有效Token指数仅作诊断，不重复加计收入。</x:v>
      </x:c>
      <x:c r="E2" s="7" t="str">
        <x:v>高盛任务成本为2026年当前锚点，不包含2030年采用率；八类工作场景由本研究映射到Token、外部收入和企业内部效率。企业工作场景相关有效Token指数仅作诊断，不重复加计收入。</x:v>
      </x:c>
      <x:c r="F2" s="7" t="str">
        <x:v>高盛任务成本为2026年当前锚点，不包含2030年采用率；八类工作场景由本研究映射到Token、外部收入和企业内部效率。企业工作场景相关有效Token指数仅作诊断，不重复加计收入。</x:v>
      </x:c>
      <x:c r="G2" s="7" t="str">
        <x:v>高盛任务成本为2026年当前锚点，不包含2030年采用率；八类工作场景由本研究映射到Token、外部收入和企业内部效率。企业工作场景相关有效Token指数仅作诊断，不重复加计收入。</x:v>
      </x:c>
      <x:c r="H2" s="7" t="str">
        <x:v>高盛任务成本为2026年当前锚点，不包含2030年采用率；八类工作场景由本研究映射到Token、外部收入和企业内部效率。企业工作场景相关有效Token指数仅作诊断，不重复加计收入。</x:v>
      </x:c>
      <x:c r="I2" s="7" t="str">
        <x:v>高盛任务成本为2026年当前锚点，不包含2030年采用率；八类工作场景由本研究映射到Token、外部收入和企业内部效率。企业工作场景相关有效Token指数仅作诊断，不重复加计收入。</x:v>
      </x:c>
      <x:c r="J2" s="7" t="str">
        <x:v>高盛任务成本为2026年当前锚点，不包含2030年采用率；八类工作场景由本研究映射到Token、外部收入和企业内部效率。企业工作场景相关有效Token指数仅作诊断，不重复加计收入。</x:v>
      </x:c>
      <x:c r="K2" s="7" t="str">
        <x:v>高盛任务成本为2026年当前锚点，不包含2030年采用率；八类工作场景由本研究映射到Token、外部收入和企业内部效率。企业工作场景相关有效Token指数仅作诊断，不重复加计收入。</x:v>
      </x:c>
      <x:c r="L2" s="7" t="str">
        <x:v>高盛任务成本为2026年当前锚点，不包含2030年采用率；八类工作场景由本研究映射到Token、外部收入和企业内部效率。企业工作场景相关有效Token指数仅作诊断，不重复加计收入。</x:v>
      </x:c>
      <x:c r="M2" s="92"/>
      <x:c r="N2" s="92"/>
      <x:c r="O2" s="92"/>
      <x:c r="P2" s="92"/>
      <x:c r="Q2" s="92"/>
      <x:c r="R2" s="92"/>
      <x:c r="S2" s="92"/>
      <x:c r="T2" s="92"/>
      <x:c r="U2" s="92"/>
      <x:c r="V2" s="92"/>
    </x:row>
    <x:row r="3" ht="15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  <x:c r="K3" s="92"/>
      <x:c r="L3" s="92"/>
      <x:c r="M3" s="92"/>
      <x:c r="N3" s="92"/>
      <x:c r="O3" s="92"/>
      <x:c r="P3" s="92"/>
      <x:c r="Q3" s="92"/>
      <x:c r="R3" s="92"/>
      <x:c r="S3" s="92"/>
      <x:c r="T3" s="92"/>
      <x:c r="U3" s="92"/>
      <x:c r="V3" s="92"/>
    </x:row>
    <x:row r="4" ht="15" hidden="0" customHeight="1">
      <x:c r="A4" s="12" t="str">
        <x:v>高盛当前任务锚点</x:v>
      </x:c>
      <x:c r="B4" s="12" t="str">
        <x:v>日均Token（百万）</x:v>
      </x:c>
      <x:c r="C4" s="12" t="str">
        <x:v>AI任务成本（美元/日）</x:v>
      </x:c>
      <x:c r="D4" s="12" t="str">
        <x:v>同等人工成本（美元/日）</x:v>
      </x:c>
      <x:c r="E4" s="12" t="str">
        <x:v>AI成本/人工成本</x:v>
      </x:c>
      <x:c r="F4" s="12" t="str">
        <x:v>2026年当前经济状态</x:v>
      </x:c>
      <x:c r="G4" s="12" t="str">
        <x:v>主要非成本约束</x:v>
      </x:c>
      <x:c r="H4" s="12" t="str">
        <x:v>在本模型中的作用</x:v>
      </x:c>
      <x:c r="I4" s="92"/>
      <x:c r="J4" s="92"/>
      <x:c r="K4" s="92"/>
      <x:c r="L4" s="92"/>
      <x:c r="M4" s="92"/>
      <x:c r="N4" s="92"/>
      <x:c r="O4" s="92"/>
      <x:c r="P4" s="92"/>
      <x:c r="Q4" s="92"/>
      <x:c r="R4" s="92"/>
      <x:c r="S4" s="92"/>
      <x:c r="T4" s="92"/>
      <x:c r="U4" s="95" t="str">
        <x:v>年份</x:v>
      </x:c>
      <x:c r="V4" s="95" t="str">
        <x:v>生产级工作流渗透率（%）</x:v>
      </x:c>
    </x:row>
    <x:row r="5" ht="15" hidden="0" customHeight="1">
      <x:c r="A5" s="16" t="str">
        <x:v>编程智能体</x:v>
      </x:c>
      <x:c r="B5" s="45" t="n">
        <x:v>7.0986</x:v>
      </x:c>
      <x:c r="C5" s="45" t="n">
        <x:v>13.39</x:v>
      </x:c>
      <x:c r="D5" s="45" t="n">
        <x:v>300</x:v>
      </x:c>
      <x:c r="E5" s="42" t="n">
        <x:f>C5/D5</x:f>
        <x:v>0.04463333333333334</x:v>
      </x:c>
      <x:c r="F5" s="16" t="str">
        <x:v>显著低于人工</x:v>
      </x:c>
      <x:c r="G5" s="16" t="str">
        <x:v>代码质量、安全、上下文与企业治理</x:v>
      </x:c>
      <x:c r="H5" s="16" t="str">
        <x:v>校准软件研发场景的先发扩散和知识工作Token强度</x:v>
      </x:c>
      <x:c r="I5" s="92"/>
      <x:c r="J5" s="92"/>
      <x:c r="K5" s="92"/>
      <x:c r="L5" s="92"/>
      <x:c r="M5" s="92"/>
      <x:c r="N5" s="92"/>
      <x:c r="O5" s="92"/>
      <x:c r="P5" s="92"/>
      <x:c r="Q5" s="92"/>
      <x:c r="R5" s="92"/>
      <x:c r="S5" s="92"/>
      <x:c r="T5" s="92"/>
      <x:c r="U5" s="95" t="n">
        <x:v>2026</x:v>
      </x:c>
      <x:c r="V5" s="95" t="n">
        <x:f>C27</x:f>
        <x:v>0.1754</x:v>
      </x:c>
    </x:row>
    <x:row r="6" ht="15" hidden="0" customHeight="1">
      <x:c r="A6" s="16" t="str">
        <x:v>数据录入智能体</x:v>
      </x:c>
      <x:c r="B6" s="45" t="n">
        <x:v>25.13</x:v>
      </x:c>
      <x:c r="C6" s="45" t="n">
        <x:v>59.68</x:v>
      </x:c>
      <x:c r="D6" s="45" t="n">
        <x:v>80</x:v>
      </x:c>
      <x:c r="E6" s="42" t="n">
        <x:f>C6/D6</x:f>
        <x:v>0.746</x:v>
      </x:c>
      <x:c r="F6" s="16" t="str">
        <x:v>低于人工但接近临界</x:v>
      </x:c>
      <x:c r="G6" s="16" t="str">
        <x:v>脏数据、流程集成、异常处理与审计</x:v>
      </x:c>
      <x:c r="H6" s="16" t="str">
        <x:v>校准文档处理场景的采用节奏和多轮校验Token</x:v>
      </x:c>
      <x:c r="I6" s="92"/>
      <x:c r="J6" s="92"/>
      <x:c r="K6" s="92"/>
      <x:c r="L6" s="92"/>
      <x:c r="M6" s="92"/>
      <x:c r="N6" s="92"/>
      <x:c r="O6" s="92"/>
      <x:c r="P6" s="92"/>
      <x:c r="Q6" s="92"/>
      <x:c r="R6" s="92"/>
      <x:c r="S6" s="92"/>
      <x:c r="T6" s="92"/>
      <x:c r="U6" s="95" t="n">
        <x:v>2027</x:v>
      </x:c>
      <x:c r="V6" s="95" t="n">
        <x:f>C28</x:f>
        <x:v>0.2695</x:v>
      </x:c>
    </x:row>
    <x:row r="7" ht="15" hidden="0" customHeight="1">
      <x:c r="A7" s="16" t="str">
        <x:v>实时语音客服智能体</x:v>
      </x:c>
      <x:c r="B7" s="45" t="n">
        <x:v>2</x:v>
      </x:c>
      <x:c r="C7" s="45" t="n">
        <x:v>92.9</x:v>
      </x:c>
      <x:c r="D7" s="45" t="n">
        <x:v>90</x:v>
      </x:c>
      <x:c r="E7" s="42" t="n">
        <x:f>C7/D7</x:f>
        <x:v>1.0322222222222224</x:v>
      </x:c>
      <x:c r="F7" s="16" t="str">
        <x:v>略高于人工</x:v>
      </x:c>
      <x:c r="G7" s="16" t="str">
        <x:v>低延迟、语音成本、服务质量与升级人工</x:v>
      </x:c>
      <x:c r="H7" s="16" t="str">
        <x:v>约束语音自动化的当前收入，不限制文本客服先行</x:v>
      </x:c>
      <x:c r="I7" s="92"/>
      <x:c r="J7" s="92"/>
      <x:c r="K7" s="92"/>
      <x:c r="L7" s="92"/>
      <x:c r="M7" s="92"/>
      <x:c r="N7" s="92"/>
      <x:c r="O7" s="92"/>
      <x:c r="P7" s="92"/>
      <x:c r="Q7" s="92"/>
      <x:c r="R7" s="92"/>
      <x:c r="S7" s="92"/>
      <x:c r="T7" s="92"/>
      <x:c r="U7" s="95" t="n">
        <x:v>2028</x:v>
      </x:c>
      <x:c r="V7" s="95" t="n">
        <x:f>C29</x:f>
        <x:v>0.3699</x:v>
      </x:c>
    </x:row>
    <x:row r="8" ht="15" hidden="0" customHeight="1">
      <x:c r="A8" s="92"/>
      <x:c r="B8" s="92"/>
      <x:c r="C8" s="92"/>
      <x:c r="D8" s="92"/>
      <x:c r="E8" s="92"/>
      <x:c r="F8" s="92"/>
      <x:c r="G8" s="92"/>
      <x:c r="H8" s="92"/>
      <x:c r="I8" s="92"/>
      <x:c r="J8" s="92"/>
      <x:c r="K8" s="92"/>
      <x:c r="L8" s="92"/>
      <x:c r="M8" s="92"/>
      <x:c r="N8" s="92"/>
      <x:c r="O8" s="92"/>
      <x:c r="P8" s="92"/>
      <x:c r="Q8" s="92"/>
      <x:c r="R8" s="92"/>
      <x:c r="S8" s="92"/>
      <x:c r="T8" s="92"/>
      <x:c r="U8" s="95" t="n">
        <x:v>2029</x:v>
      </x:c>
      <x:c r="V8" s="95" t="n">
        <x:f>C30</x:f>
        <x:v>0.4656</x:v>
      </x:c>
    </x:row>
    <x:row r="9" ht="15" hidden="0" customHeight="1">
      <x:c r="A9" s="92"/>
      <x:c r="B9" s="92"/>
      <x:c r="C9" s="92"/>
      <x:c r="D9" s="92"/>
      <x:c r="E9" s="92"/>
      <x:c r="F9" s="92"/>
      <x:c r="G9" s="92"/>
      <x:c r="H9" s="92"/>
      <x:c r="I9" s="92"/>
      <x:c r="J9" s="92"/>
      <x:c r="K9" s="92"/>
      <x:c r="L9" s="92"/>
      <x:c r="M9" s="92"/>
      <x:c r="N9" s="92"/>
      <x:c r="O9" s="92"/>
      <x:c r="P9" s="92"/>
      <x:c r="Q9" s="92"/>
      <x:c r="R9" s="92"/>
      <x:c r="S9" s="92"/>
      <x:c r="T9" s="92"/>
      <x:c r="U9" s="95" t="n">
        <x:v>2030</x:v>
      </x:c>
      <x:c r="V9" s="95" t="n">
        <x:f>C31</x:f>
        <x:v>0.55</x:v>
      </x:c>
    </x:row>
    <x:row r="10" ht="15" hidden="0" customHeight="1">
      <x:c r="A10" s="29" t="str">
        <x:v>八类AI工作场景：本研究生产级渗透路径与回报映射</x:v>
      </x:c>
      <x:c r="B10" s="29" t="str">
        <x:v>八类AI工作场景：本研究生产级渗透路径与回报映射</x:v>
      </x:c>
      <x:c r="C10" s="29" t="str">
        <x:v>八类AI工作场景：本研究生产级渗透路径与回报映射</x:v>
      </x:c>
      <x:c r="D10" s="29" t="str">
        <x:v>八类AI工作场景：本研究生产级渗透路径与回报映射</x:v>
      </x:c>
      <x:c r="E10" s="29" t="str">
        <x:v>八类AI工作场景：本研究生产级渗透路径与回报映射</x:v>
      </x:c>
      <x:c r="F10" s="29" t="str">
        <x:v>八类AI工作场景：本研究生产级渗透路径与回报映射</x:v>
      </x:c>
      <x:c r="G10" s="29" t="str">
        <x:v>八类AI工作场景：本研究生产级渗透路径与回报映射</x:v>
      </x:c>
      <x:c r="H10" s="29" t="str">
        <x:v>八类AI工作场景：本研究生产级渗透路径与回报映射</x:v>
      </x:c>
      <x:c r="I10" s="29" t="str">
        <x:v>八类AI工作场景：本研究生产级渗透路径与回报映射</x:v>
      </x:c>
      <x:c r="J10" s="29" t="str">
        <x:v>八类AI工作场景：本研究生产级渗透路径与回报映射</x:v>
      </x:c>
      <x:c r="K10" s="29" t="str">
        <x:v>八类AI工作场景：本研究生产级渗透路径与回报映射</x:v>
      </x:c>
      <x:c r="L10" s="29" t="str">
        <x:v>八类AI工作场景：本研究生产级渗透路径与回报映射</x:v>
      </x:c>
      <x:c r="M10" s="92"/>
      <x:c r="N10" s="92"/>
      <x:c r="O10" s="92"/>
      <x:c r="P10" s="92"/>
      <x:c r="Q10" s="92"/>
      <x:c r="R10" s="92"/>
      <x:c r="S10" s="92"/>
      <x:c r="T10" s="92"/>
      <x:c r="U10" s="92"/>
      <x:c r="V10" s="92"/>
    </x:row>
    <x:row r="11" ht="15" hidden="0" customHeight="1">
      <x:c r="A11" s="92"/>
      <x:c r="B11" s="92"/>
      <x:c r="C11" s="92"/>
      <x:c r="D11" s="92"/>
      <x:c r="E11" s="92"/>
      <x:c r="F11" s="92"/>
      <x:c r="G11" s="92"/>
      <x:c r="H11" s="92"/>
      <x:c r="I11" s="92"/>
      <x:c r="J11" s="92"/>
      <x:c r="K11" s="92"/>
      <x:c r="L11" s="92"/>
      <x:c r="M11" s="92"/>
      <x:c r="N11" s="92"/>
      <x:c r="O11" s="92"/>
      <x:c r="P11" s="92"/>
      <x:c r="Q11" s="92"/>
      <x:c r="R11" s="92"/>
      <x:c r="S11" s="92"/>
      <x:c r="T11" s="92"/>
      <x:c r="U11" s="92"/>
      <x:c r="V11" s="92"/>
    </x:row>
    <x:row r="12" ht="15" hidden="0" customHeight="1">
      <x:c r="A12" s="12" t="str">
        <x:v>AI工作场景</x:v>
      </x:c>
      <x:c r="B12" s="12" t="str">
        <x:v>可受影响成本池权重</x:v>
      </x:c>
      <x:c r="C12" s="12" t="str">
        <x:v>2026E生产级渗透率</x:v>
      </x:c>
      <x:c r="D12" s="12" t="str">
        <x:v>2027E生产级渗透率</x:v>
      </x:c>
      <x:c r="E12" s="12" t="str">
        <x:v>2028E生产级渗透率</x:v>
      </x:c>
      <x:c r="F12" s="12" t="str">
        <x:v>2029E生产级渗透率</x:v>
      </x:c>
      <x:c r="G12" s="12" t="str">
        <x:v>2030E生产级渗透率</x:v>
      </x:c>
      <x:c r="H12" s="12" t="str">
        <x:v>主要有效Token负载</x:v>
      </x:c>
      <x:c r="I12" s="12" t="str">
        <x:v>主要外部收入路径</x:v>
      </x:c>
      <x:c r="J12" s="12" t="str">
        <x:v>主要内部效率路径</x:v>
      </x:c>
      <x:c r="K12" s="12" t="str">
        <x:v>2026年当前阶段</x:v>
      </x:c>
      <x:c r="L12" s="12" t="str">
        <x:v>主要约束</x:v>
      </x:c>
      <x:c r="M12" s="92"/>
      <x:c r="N12" s="92"/>
      <x:c r="O12" s="92"/>
      <x:c r="P12" s="92"/>
      <x:c r="Q12" s="92"/>
      <x:c r="R12" s="92"/>
      <x:c r="S12" s="92"/>
      <x:c r="T12" s="92"/>
      <x:c r="U12" s="92"/>
      <x:c r="V12" s="92"/>
    </x:row>
    <x:row r="13" ht="15" hidden="0" customHeight="1">
      <x:c r="A13" s="16" t="str">
        <x:v>软件研发与IT运维</x:v>
      </x:c>
      <x:c r="B13" s="42" t="n">
        <x:v>0.18</x:v>
      </x:c>
      <x:c r="C13" s="42" t="n">
        <x:v>0.3</x:v>
      </x:c>
      <x:c r="D13" s="42" t="n">
        <x:v>0.42</x:v>
      </x:c>
      <x:c r="E13" s="42" t="n">
        <x:v>0.52</x:v>
      </x:c>
      <x:c r="F13" s="42" t="n">
        <x:v>0.61</x:v>
      </x:c>
      <x:c r="G13" s="42" t="n">
        <x:f>0.68*'模型参数'!$B$15/0.55</x:f>
        <x:v>0.68</x:v>
      </x:c>
      <x:c r="H13" s="16" t="str">
        <x:v>知识工作智能体</x:v>
      </x:c>
      <x:c r="I13" s="16" t="str">
        <x:v>模型/API、AI原生应用、云AI</x:v>
      </x:c>
      <x:c r="J13" s="16" t="str">
        <x:v>研发与IT成本</x:v>
      </x:c>
      <x:c r="K13" s="16" t="str">
        <x:v>规模部署</x:v>
      </x:c>
      <x:c r="L13" s="16" t="str">
        <x:v>质量、安全、复杂代码库和系统权限</x:v>
      </x:c>
      <x:c r="M13" s="92"/>
      <x:c r="N13" s="92"/>
      <x:c r="O13" s="92"/>
      <x:c r="P13" s="92"/>
      <x:c r="Q13" s="92"/>
      <x:c r="R13" s="92"/>
      <x:c r="S13" s="92"/>
      <x:c r="T13" s="92"/>
      <x:c r="U13" s="92"/>
      <x:c r="V13" s="92"/>
    </x:row>
    <x:row r="14" ht="15" hidden="0" customHeight="1">
      <x:c r="A14" s="16" t="str">
        <x:v>文本客服与服务运营</x:v>
      </x:c>
      <x:c r="B14" s="42" t="n">
        <x:v>0.14</x:v>
      </x:c>
      <x:c r="C14" s="42" t="n">
        <x:v>0.18</x:v>
      </x:c>
      <x:c r="D14" s="42" t="n">
        <x:v>0.29</x:v>
      </x:c>
      <x:c r="E14" s="42" t="n">
        <x:v>0.41</x:v>
      </x:c>
      <x:c r="F14" s="42" t="n">
        <x:v>0.52</x:v>
      </x:c>
      <x:c r="G14" s="42" t="n">
        <x:f>0.62*'模型参数'!$B$15/0.55</x:f>
        <x:v>0.62</x:v>
      </x:c>
      <x:c r="H14" s="16" t="str">
        <x:v>知识工作智能体</x:v>
      </x:c>
      <x:c r="I14" s="16" t="str">
        <x:v>AI原生应用、云AI、行业服务</x:v>
      </x:c>
      <x:c r="J14" s="16" t="str">
        <x:v>客服运营成本</x:v>
      </x:c>
      <x:c r="K14" s="16" t="str">
        <x:v>早期规模部署</x:v>
      </x:c>
      <x:c r="L14" s="16" t="str">
        <x:v>知识库质量、异常升级和客户体验</x:v>
      </x:c>
      <x:c r="M14" s="92"/>
      <x:c r="N14" s="92"/>
      <x:c r="O14" s="92"/>
      <x:c r="P14" s="92"/>
      <x:c r="Q14" s="92"/>
      <x:c r="R14" s="92"/>
      <x:c r="S14" s="92"/>
      <x:c r="T14" s="92"/>
      <x:c r="U14" s="92"/>
      <x:c r="V14" s="92"/>
    </x:row>
    <x:row r="15" ht="15" hidden="0" customHeight="1">
      <x:c r="A15" s="16" t="str">
        <x:v>数据录入与文档处理</x:v>
      </x:c>
      <x:c r="B15" s="42" t="n">
        <x:v>0.12</x:v>
      </x:c>
      <x:c r="C15" s="42" t="n">
        <x:v>0.1</x:v>
      </x:c>
      <x:c r="D15" s="42" t="n">
        <x:v>0.17</x:v>
      </x:c>
      <x:c r="E15" s="42" t="n">
        <x:v>0.27</x:v>
      </x:c>
      <x:c r="F15" s="42" t="n">
        <x:v>0.37</x:v>
      </x:c>
      <x:c r="G15" s="42" t="n">
        <x:f>0.48*'模型参数'!$B$15/0.55</x:f>
        <x:v>0.48</x:v>
      </x:c>
      <x:c r="H15" s="16" t="str">
        <x:v>知识工作智能体+多模态AI</x:v>
      </x:c>
      <x:c r="I15" s="16" t="str">
        <x:v>AI原生应用、行业服务</x:v>
      </x:c>
      <x:c r="J15" s="16" t="str">
        <x:v>后台运营成本</x:v>
      </x:c>
      <x:c r="K15" s="16" t="str">
        <x:v>生产试点</x:v>
      </x:c>
      <x:c r="L15" s="16" t="str">
        <x:v>脏数据、系统集成、审计和人工复核</x:v>
      </x:c>
      <x:c r="M15" s="92"/>
      <x:c r="N15" s="92"/>
      <x:c r="O15" s="92"/>
      <x:c r="P15" s="92"/>
      <x:c r="Q15" s="92"/>
      <x:c r="R15" s="92"/>
      <x:c r="S15" s="92"/>
      <x:c r="T15" s="92"/>
      <x:c r="U15" s="92"/>
      <x:c r="V15" s="92"/>
    </x:row>
    <x:row r="16" ht="15" hidden="0" customHeight="1">
      <x:c r="A16" s="16" t="str">
        <x:v>搜索、研究与数据分析</x:v>
      </x:c>
      <x:c r="B16" s="42" t="n">
        <x:v>0.16</x:v>
      </x:c>
      <x:c r="C16" s="42" t="n">
        <x:v>0.2</x:v>
      </x:c>
      <x:c r="D16" s="42" t="n">
        <x:v>0.31</x:v>
      </x:c>
      <x:c r="E16" s="42" t="n">
        <x:v>0.42</x:v>
      </x:c>
      <x:c r="F16" s="42" t="n">
        <x:v>0.52</x:v>
      </x:c>
      <x:c r="G16" s="42" t="n">
        <x:f>0.6*'模型参数'!$B$15/0.55</x:f>
        <x:v>0.6</x:v>
      </x:c>
      <x:c r="H16" s="16" t="str">
        <x:v>知识工作智能体+对话AI</x:v>
      </x:c>
      <x:c r="I16" s="16" t="str">
        <x:v>模型/API、AI原生应用、大厂第一方</x:v>
      </x:c>
      <x:c r="J16" s="16" t="str">
        <x:v>研究与分析成本</x:v>
      </x:c>
      <x:c r="K16" s="16" t="str">
        <x:v>快速扩张</x:v>
      </x:c>
      <x:c r="L16" s="16" t="str">
        <x:v>事实准确性、数据权限和可追溯性</x:v>
      </x:c>
      <x:c r="M16" s="92"/>
      <x:c r="N16" s="92"/>
      <x:c r="O16" s="92"/>
      <x:c r="P16" s="92"/>
      <x:c r="Q16" s="92"/>
      <x:c r="R16" s="92"/>
      <x:c r="S16" s="92"/>
      <x:c r="T16" s="92"/>
      <x:c r="U16" s="92"/>
      <x:c r="V16" s="92"/>
    </x:row>
    <x:row r="17" ht="15" hidden="0" customHeight="1">
      <x:c r="A17" s="16" t="str">
        <x:v>内容、营销与广告运营</x:v>
      </x:c>
      <x:c r="B17" s="42" t="n">
        <x:v>0.13</x:v>
      </x:c>
      <x:c r="C17" s="42" t="n">
        <x:v>0.22</x:v>
      </x:c>
      <x:c r="D17" s="42" t="n">
        <x:v>0.33</x:v>
      </x:c>
      <x:c r="E17" s="42" t="n">
        <x:v>0.43</x:v>
      </x:c>
      <x:c r="F17" s="42" t="n">
        <x:v>0.51</x:v>
      </x:c>
      <x:c r="G17" s="42" t="n">
        <x:f>0.58*'模型参数'!$B$15/0.55</x:f>
        <x:v>0.58</x:v>
      </x:c>
      <x:c r="H17" s="16" t="str">
        <x:v>对话AI+多模态AI</x:v>
      </x:c>
      <x:c r="I17" s="16" t="str">
        <x:v>大厂第一方、嵌入式AI、AI原生应用</x:v>
      </x:c>
      <x:c r="J17" s="16" t="str">
        <x:v>营销运营成本</x:v>
      </x:c>
      <x:c r="K17" s="16" t="str">
        <x:v>规模部署</x:v>
      </x:c>
      <x:c r="L17" s="16" t="str">
        <x:v>品牌一致性、版权和增量归因</x:v>
      </x:c>
      <x:c r="M17" s="92"/>
      <x:c r="N17" s="92"/>
      <x:c r="O17" s="92"/>
      <x:c r="P17" s="92"/>
      <x:c r="Q17" s="92"/>
      <x:c r="R17" s="92"/>
      <x:c r="S17" s="92"/>
      <x:c r="T17" s="92"/>
      <x:c r="U17" s="92"/>
      <x:c r="V17" s="92"/>
    </x:row>
    <x:row r="18" ht="15" hidden="0" customHeight="1">
      <x:c r="A18" s="16" t="str">
        <x:v>销售、商务与企业协同</x:v>
      </x:c>
      <x:c r="B18" s="42" t="n">
        <x:v>0.11</x:v>
      </x:c>
      <x:c r="C18" s="42" t="n">
        <x:v>0.12</x:v>
      </x:c>
      <x:c r="D18" s="42" t="n">
        <x:v>0.2</x:v>
      </x:c>
      <x:c r="E18" s="42" t="n">
        <x:v>0.3</x:v>
      </x:c>
      <x:c r="F18" s="42" t="n">
        <x:v>0.41</x:v>
      </x:c>
      <x:c r="G18" s="42" t="n">
        <x:f>0.52*'模型参数'!$B$15/0.55</x:f>
        <x:v>0.52</x:v>
      </x:c>
      <x:c r="H18" s="16" t="str">
        <x:v>知识工作智能体+对话AI</x:v>
      </x:c>
      <x:c r="I18" s="16" t="str">
        <x:v>大厂第一方、AI原生应用、行业服务</x:v>
      </x:c>
      <x:c r="J18" s="16" t="str">
        <x:v>销售运营与管理成本</x:v>
      </x:c>
      <x:c r="K18" s="16" t="str">
        <x:v>早期生产</x:v>
      </x:c>
      <x:c r="L18" s="16" t="str">
        <x:v>跨系统权限、流程改造和组织采用</x:v>
      </x:c>
      <x:c r="M18" s="92"/>
      <x:c r="N18" s="92"/>
      <x:c r="O18" s="92"/>
      <x:c r="P18" s="92"/>
      <x:c r="Q18" s="92"/>
      <x:c r="R18" s="92"/>
      <x:c r="S18" s="92"/>
      <x:c r="T18" s="92"/>
      <x:c r="U18" s="92"/>
      <x:c r="V18" s="92"/>
    </x:row>
    <x:row r="19" ht="15" hidden="0" customHeight="1">
      <x:c r="A19" s="16" t="str">
        <x:v>实时语音服务</x:v>
      </x:c>
      <x:c r="B19" s="42" t="n">
        <x:v>0.08</x:v>
      </x:c>
      <x:c r="C19" s="42" t="n">
        <x:v>0.05</x:v>
      </x:c>
      <x:c r="D19" s="42" t="n">
        <x:v>0.1</x:v>
      </x:c>
      <x:c r="E19" s="42" t="n">
        <x:v>0.18</x:v>
      </x:c>
      <x:c r="F19" s="42" t="n">
        <x:v>0.28</x:v>
      </x:c>
      <x:c r="G19" s="42" t="n">
        <x:f>0.3825*'模型参数'!$B$15/0.55</x:f>
        <x:v>0.3825</x:v>
      </x:c>
      <x:c r="H19" s="16" t="str">
        <x:v>多模态AI</x:v>
      </x:c>
      <x:c r="I19" s="16" t="str">
        <x:v>AI原生应用、云AI、行业服务</x:v>
      </x:c>
      <x:c r="J19" s="16" t="str">
        <x:v>呼叫中心成本</x:v>
      </x:c>
      <x:c r="K19" s="16" t="str">
        <x:v>试点/人机协同</x:v>
      </x:c>
      <x:c r="L19" s="16" t="str">
        <x:v>当前成本平价、低延迟和服务稳定性</x:v>
      </x:c>
      <x:c r="M19" s="92"/>
      <x:c r="N19" s="92"/>
      <x:c r="O19" s="92"/>
      <x:c r="P19" s="92"/>
      <x:c r="Q19" s="92"/>
      <x:c r="R19" s="92"/>
      <x:c r="S19" s="92"/>
      <x:c r="T19" s="92"/>
      <x:c r="U19" s="92"/>
      <x:c r="V19" s="92"/>
    </x:row>
    <x:row r="20" ht="15" hidden="0" customHeight="1">
      <x:c r="A20" s="16" t="str">
        <x:v>高专业责任工作</x:v>
      </x:c>
      <x:c r="B20" s="42" t="n">
        <x:v>0.08</x:v>
      </x:c>
      <x:c r="C20" s="42" t="n">
        <x:v>0.08</x:v>
      </x:c>
      <x:c r="D20" s="42" t="n">
        <x:v>0.13</x:v>
      </x:c>
      <x:c r="E20" s="42" t="n">
        <x:v>0.2</x:v>
      </x:c>
      <x:c r="F20" s="42" t="n">
        <x:v>0.27</x:v>
      </x:c>
      <x:c r="G20" s="42" t="n">
        <x:f>0.3*'模型参数'!$B$15/0.55</x:f>
        <x:v>0.3</x:v>
      </x:c>
      <x:c r="H20" s="16" t="str">
        <x:v>知识工作智能体+多模态AI</x:v>
      </x:c>
      <x:c r="I20" s="16" t="str">
        <x:v>AI原生应用、行业服务、私有部署</x:v>
      </x:c>
      <x:c r="J20" s="16" t="str">
        <x:v>法务、医疗、金融与合规成本</x:v>
      </x:c>
      <x:c r="K20" s="16" t="str">
        <x:v>辅助采用</x:v>
      </x:c>
      <x:c r="L20" s="16" t="str">
        <x:v>准确性、责任边界、监管与专家复核</x:v>
      </x:c>
      <x:c r="M20" s="92"/>
      <x:c r="N20" s="92"/>
      <x:c r="O20" s="92"/>
      <x:c r="P20" s="92"/>
      <x:c r="Q20" s="92"/>
      <x:c r="R20" s="92"/>
      <x:c r="S20" s="92"/>
      <x:c r="T20" s="92"/>
      <x:c r="U20" s="92"/>
      <x:c r="V20" s="92"/>
    </x:row>
    <x:row r="21" ht="15" hidden="0" customHeight="1">
      <x:c r="A21" s="39" t="str">
        <x:v>八类场景加权</x:v>
      </x:c>
      <x:c r="B21" s="66" t="n">
        <x:f>SUM(B13:B20)</x:f>
        <x:v>0.9999999999999999</x:v>
      </x:c>
      <x:c r="C21" s="66" t="n">
        <x:f>SUMPRODUCT($B$13:$B$20,C13:C20)</x:f>
        <x:v>0.17539999999999997</x:v>
      </x:c>
      <x:c r="D21" s="66" t="n">
        <x:f>SUMPRODUCT($B$13:$B$20,D13:D20)</x:f>
        <x:v>0.2695</x:v>
      </x:c>
      <x:c r="E21" s="66" t="n">
        <x:f>SUMPRODUCT($B$13:$B$20,E13:E20)</x:f>
        <x:v>0.36990000000000006</x:v>
      </x:c>
      <x:c r="F21" s="66" t="n">
        <x:f>SUMPRODUCT($B$13:$B$20,F13:F20)</x:f>
        <x:v>0.46559999999999996</x:v>
      </x:c>
      <x:c r="G21" s="66" t="n">
        <x:f>SUMPRODUCT($B$13:$B$20,G13:G20)</x:f>
        <x:v>0.55</x:v>
      </x:c>
      <x:c r="H21" s="39" t="str">
        <x:v>主要联动知识工作智能体和部分多模态Token</x:v>
      </x:c>
      <x:c r="I21" s="39" t="str">
        <x:v>六类AI应用收入</x:v>
      </x:c>
      <x:c r="J21" s="39" t="str">
        <x:v>已兑现成本节省</x:v>
      </x:c>
      <x:c r="K21" s="39" t="str">
        <x:v>本研究情景</x:v>
      </x:c>
      <x:c r="L21" s="39" t="str">
        <x:v>机构当前锚点与本研究预测分开</x:v>
      </x:c>
      <x:c r="M21" s="92"/>
      <x:c r="N21" s="92"/>
      <x:c r="O21" s="92"/>
      <x:c r="P21" s="92"/>
      <x:c r="Q21" s="92"/>
      <x:c r="R21" s="92"/>
      <x:c r="S21" s="92"/>
      <x:c r="T21" s="92"/>
      <x:c r="U21" s="92"/>
      <x:c r="V21" s="92"/>
    </x:row>
    <x:row r="22" ht="15" hidden="0" customHeight="1">
      <x:c r="A22" s="92"/>
      <x:c r="B22" s="92"/>
      <x:c r="C22" s="92"/>
      <x:c r="D22" s="92"/>
      <x:c r="E22" s="92"/>
      <x:c r="F22" s="92"/>
      <x:c r="G22" s="92"/>
      <x:c r="H22" s="92"/>
      <x:c r="I22" s="92"/>
      <x:c r="J22" s="92"/>
      <x:c r="K22" s="92"/>
      <x:c r="L22" s="92"/>
      <x:c r="M22" s="92"/>
      <x:c r="N22" s="92"/>
      <x:c r="O22" s="92"/>
      <x:c r="P22" s="92"/>
      <x:c r="Q22" s="92"/>
      <x:c r="R22" s="92"/>
      <x:c r="S22" s="92"/>
      <x:c r="T22" s="92"/>
      <x:c r="U22" s="92"/>
      <x:c r="V22" s="92"/>
    </x:row>
    <x:row r="23" ht="15" hidden="0" customHeight="1">
      <x:c r="A23" s="92"/>
      <x:c r="B23" s="92"/>
      <x:c r="C23" s="92"/>
      <x:c r="D23" s="92"/>
      <x:c r="E23" s="92"/>
      <x:c r="F23" s="92"/>
      <x:c r="G23" s="92"/>
      <x:c r="H23" s="92"/>
      <x:c r="I23" s="92"/>
      <x:c r="J23" s="92"/>
      <x:c r="K23" s="92"/>
      <x:c r="L23" s="92"/>
      <x:c r="M23" s="92"/>
      <x:c r="N23" s="92"/>
      <x:c r="O23" s="92"/>
      <x:c r="P23" s="92"/>
      <x:c r="Q23" s="92"/>
      <x:c r="R23" s="92"/>
      <x:c r="S23" s="92"/>
      <x:c r="T23" s="92"/>
      <x:c r="U23" s="92"/>
      <x:c r="V23" s="92"/>
    </x:row>
    <x:row r="24" ht="15" hidden="0" customHeight="1">
      <x:c r="A24" s="29" t="str">
        <x:v>生产级工作流渗透与企业内部效率净值</x:v>
      </x:c>
      <x:c r="B24" s="29" t="str">
        <x:v>生产级工作流渗透与企业内部效率净值</x:v>
      </x:c>
      <x:c r="C24" s="29" t="str">
        <x:v>生产级工作流渗透与企业内部效率净值</x:v>
      </x:c>
      <x:c r="D24" s="29" t="str">
        <x:v>生产级工作流渗透与企业内部效率净值</x:v>
      </x:c>
      <x:c r="E24" s="29" t="str">
        <x:v>生产级工作流渗透与企业内部效率净值</x:v>
      </x:c>
      <x:c r="F24" s="29" t="str">
        <x:v>生产级工作流渗透与企业内部效率净值</x:v>
      </x:c>
      <x:c r="G24" s="29" t="str">
        <x:v>生产级工作流渗透与企业内部效率净值</x:v>
      </x:c>
      <x:c r="H24" s="29" t="str">
        <x:v>生产级工作流渗透与企业内部效率净值</x:v>
      </x:c>
      <x:c r="I24" s="29" t="str">
        <x:v>生产级工作流渗透与企业内部效率净值</x:v>
      </x:c>
      <x:c r="J24" s="92"/>
      <x:c r="K24" s="92"/>
      <x:c r="L24" s="92"/>
      <x:c r="M24" s="92"/>
      <x:c r="N24" s="92"/>
      <x:c r="O24" s="92"/>
      <x:c r="P24" s="92"/>
      <x:c r="Q24" s="92"/>
      <x:c r="R24" s="92"/>
      <x:c r="S24" s="92"/>
      <x:c r="T24" s="92"/>
      <x:c r="U24" s="92"/>
      <x:c r="V24" s="92"/>
    </x:row>
    <x:row r="25" ht="15" hidden="0" customHeight="1">
      <x:c r="A25" s="92"/>
      <x:c r="B25" s="92"/>
      <x:c r="C25" s="92"/>
      <x:c r="D25" s="92"/>
      <x:c r="E25" s="92"/>
      <x:c r="F25" s="92"/>
      <x:c r="G25" s="92"/>
      <x:c r="H25" s="92"/>
      <x:c r="I25" s="92"/>
      <x:c r="J25" s="92"/>
      <x:c r="K25" s="92"/>
      <x:c r="L25" s="92"/>
      <x:c r="M25" s="92"/>
      <x:c r="N25" s="92"/>
      <x:c r="O25" s="92"/>
      <x:c r="P25" s="92"/>
      <x:c r="Q25" s="92"/>
      <x:c r="R25" s="92"/>
      <x:c r="S25" s="92"/>
      <x:c r="T25" s="92"/>
      <x:c r="U25" s="92"/>
      <x:c r="V25" s="92"/>
    </x:row>
    <x:row r="26" ht="15" hidden="0" customHeight="1">
      <x:c r="A26" s="12" t="str">
        <x:v>年份</x:v>
      </x:c>
      <x:c r="B26" s="12" t="str">
        <x:v>可受AI影响经营成本池</x:v>
      </x:c>
      <x:c r="C26" s="12" t="str">
        <x:v>生产级工作流渗透率</x:v>
      </x:c>
      <x:c r="D26" s="12" t="str">
        <x:v>可自动化任务占比</x:v>
      </x:c>
      <x:c r="E26" s="12" t="str">
        <x:v>单位效率提升</x:v>
      </x:c>
      <x:c r="F26" s="12" t="str">
        <x:v>潜在效率价值</x:v>
      </x:c>
      <x:c r="G26" s="12" t="str">
        <x:v>扣费前已兑现效率价值</x:v>
      </x:c>
      <x:c r="H26" s="12" t="str">
        <x:v>AI外部费用去重</x:v>
      </x:c>
      <x:c r="I26" s="12" t="str">
        <x:v>企业内部效率净值</x:v>
      </x:c>
      <x:c r="J26" s="92"/>
      <x:c r="K26" s="92"/>
      <x:c r="L26" s="92"/>
      <x:c r="M26" s="92"/>
      <x:c r="N26" s="92"/>
      <x:c r="O26" s="92"/>
      <x:c r="P26" s="92"/>
      <x:c r="Q26" s="92"/>
      <x:c r="R26" s="92"/>
      <x:c r="S26" s="92"/>
      <x:c r="T26" s="92"/>
      <x:c r="U26" s="92"/>
      <x:c r="V26" s="92"/>
    </x:row>
    <x:row r="27" ht="15" hidden="0" customHeight="1">
      <x:c r="A27" s="16" t="n">
        <x:v>2026</x:v>
      </x:c>
      <x:c r="B27" s="67" t="n">
        <x:v>80000</x:v>
      </x:c>
      <x:c r="C27" s="42" t="n">
        <x:f>0.1754+('模型参数'!$B$15-0.55)*0</x:f>
        <x:v>0.1754</x:v>
      </x:c>
      <x:c r="D27" s="42" t="n">
        <x:v>0.5168072976054734</x:v>
      </x:c>
      <x:c r="E27" s="42" t="n">
        <x:v>0.30703821374988965</x:v>
      </x:c>
      <x:c r="F27" s="40" t="n">
        <x:f>B27*C27*D27*E27</x:f>
        <x:v>2226.5920000000006</x:v>
      </x:c>
      <x:c r="G27" s="40" t="n">
        <x:f>F27*'模型参数'!$B$18</x:f>
        <x:v>1113.2960000000003</x:v>
      </x:c>
      <x:c r="H27" s="40" t="n">
        <x:f>MIN(G27*MAX(0.05,MIN(0.6,'模型参数'!$B$24-0.25+0.25)),SUM('AI应用回报'!F56:F60))</x:f>
        <x:v>278.32400000000007</x:v>
      </x:c>
      <x:c r="I27" s="40" t="n">
        <x:f>G27-H27</x:f>
        <x:v>834.9720000000002</x:v>
      </x:c>
      <x:c r="J27" s="92"/>
      <x:c r="K27" s="92"/>
      <x:c r="L27" s="92"/>
      <x:c r="M27" s="92"/>
      <x:c r="N27" s="92"/>
      <x:c r="O27" s="92"/>
      <x:c r="P27" s="92"/>
      <x:c r="Q27" s="92"/>
      <x:c r="R27" s="92"/>
      <x:c r="S27" s="92"/>
      <x:c r="T27" s="92"/>
      <x:c r="U27" s="92"/>
      <x:c r="V27" s="92"/>
    </x:row>
    <x:row r="28" ht="15" hidden="0" customHeight="1">
      <x:c r="A28" s="16" t="n">
        <x:v>2027</x:v>
      </x:c>
      <x:c r="B28" s="67" t="n">
        <x:v>86000</x:v>
      </x:c>
      <x:c r="C28" s="42" t="n">
        <x:f>0.2695+('模型参数'!$B$15-0.55)*0.25</x:f>
        <x:v>0.2695</x:v>
      </x:c>
      <x:c r="D28" s="42" t="n">
        <x:v>0.5145454545454545</x:v>
      </x:c>
      <x:c r="E28" s="42" t="n">
        <x:v>0.30554135717891395</x:v>
      </x:c>
      <x:c r="F28" s="40" t="n">
        <x:f>B28*C28*D28*E28</x:f>
        <x:v>3643.7701199999997</x:v>
      </x:c>
      <x:c r="G28" s="40" t="n">
        <x:f>F28*'模型参数'!$B$18</x:f>
        <x:v>1821.8850599999998</x:v>
      </x:c>
      <x:c r="H28" s="40" t="n">
        <x:f>MIN(G28*MAX(0.05,MIN(0.6,'模型参数'!$B$24-0.25+0.22)),SUM('AI应用回报'!G56:G60))</x:f>
        <x:v>400.81471319999997</x:v>
      </x:c>
      <x:c r="I28" s="40" t="n">
        <x:f>G28-H28</x:f>
        <x:v>1421.0703468</x:v>
      </x:c>
      <x:c r="J28" s="92"/>
      <x:c r="K28" s="92"/>
      <x:c r="L28" s="92"/>
      <x:c r="M28" s="92"/>
      <x:c r="N28" s="92"/>
      <x:c r="O28" s="92"/>
      <x:c r="P28" s="92"/>
      <x:c r="Q28" s="92"/>
      <x:c r="R28" s="92"/>
      <x:c r="S28" s="92"/>
      <x:c r="T28" s="92"/>
      <x:c r="U28" s="92"/>
      <x:c r="V28" s="92"/>
    </x:row>
    <x:row r="29" ht="15" hidden="0" customHeight="1">
      <x:c r="A29" s="16" t="n">
        <x:v>2028</x:v>
      </x:c>
      <x:c r="B29" s="67" t="n">
        <x:v>93000</x:v>
      </x:c>
      <x:c r="C29" s="42" t="n">
        <x:f>0.3699+('模型参数'!$B$15-0.55)*0.5</x:f>
        <x:v>0.3699</x:v>
      </x:c>
      <x:c r="D29" s="42" t="n">
        <x:v>0.5115977291159772</x:v>
      </x:c>
      <x:c r="E29" s="42" t="n">
        <x:v>0.3036489114352145</x:v>
      </x:c>
      <x:c r="F29" s="40" t="n">
        <x:f>B29*C29*D29*E29</x:f>
        <x:v>5344.014359999998</x:v>
      </x:c>
      <x:c r="G29" s="40" t="n">
        <x:f>F29*'模型参数'!$B$18</x:f>
        <x:v>2672.007179999999</x:v>
      </x:c>
      <x:c r="H29" s="40" t="n">
        <x:f>MIN(G29*MAX(0.05,MIN(0.6,'模型参数'!$B$24-0.25+0.2)),SUM('AI应用回报'!H56:H60))</x:f>
        <x:v>534.4014359999999</x:v>
      </x:c>
      <x:c r="I29" s="40" t="n">
        <x:f>G29-H29</x:f>
        <x:v>2137.6057439999995</x:v>
      </x:c>
      <x:c r="J29" s="92"/>
      <x:c r="K29" s="92"/>
      <x:c r="L29" s="92"/>
      <x:c r="M29" s="92"/>
      <x:c r="N29" s="92"/>
      <x:c r="O29" s="92"/>
      <x:c r="P29" s="92"/>
      <x:c r="Q29" s="92"/>
      <x:c r="R29" s="92"/>
      <x:c r="S29" s="92"/>
      <x:c r="T29" s="92"/>
      <x:c r="U29" s="92"/>
      <x:c r="V29" s="92"/>
    </x:row>
    <x:row r="30" ht="15" hidden="0" customHeight="1">
      <x:c r="A30" s="16" t="n">
        <x:v>2029</x:v>
      </x:c>
      <x:c r="B30" s="67" t="n">
        <x:v>100500</x:v>
      </x:c>
      <x:c r="C30" s="42" t="n">
        <x:f>0.4656+('模型参数'!$B$15-0.55)*0.75</x:f>
        <x:v>0.4656</x:v>
      </x:c>
      <x:c r="D30" s="42" t="n">
        <x:v>0.5091774054982817</x:v>
      </x:c>
      <x:c r="E30" s="42" t="n">
        <x:v>0.30219683388660884</x:v>
      </x:c>
      <x:c r="F30" s="40" t="n">
        <x:f>B30*C30*D30*E30</x:f>
        <x:v>7200.092355000001</x:v>
      </x:c>
      <x:c r="G30" s="40" t="n">
        <x:f>F30*'模型参数'!$B$18</x:f>
        <x:v>3600.0461775000003</x:v>
      </x:c>
      <x:c r="H30" s="40" t="n">
        <x:f>MIN(G30*MAX(0.05,MIN(0.6,'模型参数'!$B$24-0.25+0.18)),SUM('AI应用回报'!I56:I60))</x:f>
        <x:v>648.00831195</x:v>
      </x:c>
      <x:c r="I30" s="40" t="n">
        <x:f>G30-H30</x:f>
        <x:v>2952.0378655500003</x:v>
      </x:c>
      <x:c r="J30" s="92"/>
      <x:c r="K30" s="92"/>
      <x:c r="L30" s="92"/>
      <x:c r="M30" s="92"/>
      <x:c r="N30" s="92"/>
      <x:c r="O30" s="92"/>
      <x:c r="P30" s="92"/>
      <x:c r="Q30" s="92"/>
      <x:c r="R30" s="92"/>
      <x:c r="S30" s="92"/>
      <x:c r="T30" s="92"/>
      <x:c r="U30" s="92"/>
      <x:c r="V30" s="92"/>
    </x:row>
    <x:row r="31" ht="15" hidden="0" customHeight="1">
      <x:c r="A31" s="16" t="n">
        <x:v>2030</x:v>
      </x:c>
      <x:c r="B31" s="67" t="n">
        <x:v>108500</x:v>
      </x:c>
      <x:c r="C31" s="42" t="n">
        <x:f>0.55+('模型参数'!$B$15-0.55)*1</x:f>
        <x:v>0.55</x:v>
      </x:c>
      <x:c r="D31" s="42" t="n">
        <x:v>0.5087345454545454</x:v>
      </x:c>
      <x:c r="E31" s="42" t="n">
        <x:v>0.3011832568512244</x:v>
      </x:c>
      <x:c r="F31" s="40" t="n">
        <x:f>B31*C31*D31*E31</x:f>
        <x:v>9143.542379999999</x:v>
      </x:c>
      <x:c r="G31" s="40" t="n">
        <x:f>F31*'模型参数'!$B$18</x:f>
        <x:v>4571.7711899999995</x:v>
      </x:c>
      <x:c r="H31" s="40" t="n">
        <x:f>MIN(G31*MAX(0.05,MIN(0.6,'模型参数'!$B$24-0.25+0.16)),SUM('AI应用回报'!J56:J60))</x:f>
        <x:v>731.4833904</x:v>
      </x:c>
      <x:c r="I31" s="40" t="n">
        <x:f>G31-H31</x:f>
        <x:v>3840.2877995999997</x:v>
      </x:c>
      <x:c r="J31" s="92"/>
      <x:c r="K31" s="92"/>
      <x:c r="L31" s="92"/>
      <x:c r="M31" s="92"/>
      <x:c r="N31" s="92"/>
      <x:c r="O31" s="92"/>
      <x:c r="P31" s="92"/>
      <x:c r="Q31" s="92"/>
      <x:c r="R31" s="92"/>
      <x:c r="S31" s="92"/>
      <x:c r="T31" s="92"/>
      <x:c r="U31" s="92"/>
      <x:c r="V31" s="92"/>
    </x:row>
    <x:row r="32" ht="15" hidden="0" customHeight="1">
      <x:c r="A32" s="92"/>
      <x:c r="B32" s="92"/>
      <x:c r="C32" s="92"/>
      <x:c r="D32" s="92"/>
      <x:c r="E32" s="92"/>
      <x:c r="F32" s="92"/>
      <x:c r="G32" s="92"/>
      <x:c r="H32" s="92"/>
      <x:c r="I32" s="92"/>
      <x:c r="J32" s="92"/>
      <x:c r="K32" s="92"/>
      <x:c r="L32" s="92"/>
      <x:c r="M32" s="92"/>
      <x:c r="N32" s="92"/>
      <x:c r="O32" s="92"/>
      <x:c r="P32" s="92"/>
      <x:c r="Q32" s="92"/>
      <x:c r="R32" s="92"/>
      <x:c r="S32" s="92"/>
      <x:c r="T32" s="92"/>
      <x:c r="U32" s="92"/>
      <x:c r="V32" s="92"/>
    </x:row>
    <x:row r="33" ht="15" hidden="0" customHeight="1">
      <x:c r="A33" s="92"/>
      <x:c r="B33" s="92"/>
      <x:c r="C33" s="92"/>
      <x:c r="D33" s="92"/>
      <x:c r="E33" s="92"/>
      <x:c r="F33" s="92"/>
      <x:c r="G33" s="92"/>
      <x:c r="H33" s="92"/>
      <x:c r="I33" s="92"/>
      <x:c r="J33" s="92"/>
      <x:c r="K33" s="92"/>
      <x:c r="L33" s="92"/>
      <x:c r="M33" s="92"/>
      <x:c r="N33" s="92"/>
      <x:c r="O33" s="92"/>
      <x:c r="P33" s="92"/>
      <x:c r="Q33" s="92"/>
      <x:c r="R33" s="92"/>
      <x:c r="S33" s="92"/>
      <x:c r="T33" s="92"/>
      <x:c r="U33" s="92"/>
      <x:c r="V33" s="92"/>
    </x:row>
    <x:row r="34" ht="15" hidden="0" customHeight="1">
      <x:c r="A34" s="12" t="str">
        <x:v>传导顺序</x:v>
      </x:c>
      <x:c r="B34" s="12" t="str">
        <x:v>当前任务经济性</x:v>
      </x:c>
      <x:c r="C34" s="12" t="str">
        <x:v>生产级场景渗透</x:v>
      </x:c>
      <x:c r="D34" s="12" t="str">
        <x:v>有效Token</x:v>
      </x:c>
      <x:c r="E34" s="12" t="str">
        <x:v>外部收入</x:v>
      </x:c>
      <x:c r="F34" s="12" t="str">
        <x:v>内部效率</x:v>
      </x:c>
      <x:c r="G34" s="12" t="str">
        <x:v>去重边界</x:v>
      </x:c>
      <x:c r="H34" s="12" t="str">
        <x:v>结果</x:v>
      </x:c>
      <x:c r="I34" s="92"/>
      <x:c r="J34" s="92"/>
      <x:c r="K34" s="92"/>
      <x:c r="L34" s="92"/>
      <x:c r="M34" s="92"/>
      <x:c r="N34" s="92"/>
      <x:c r="O34" s="92"/>
      <x:c r="P34" s="92"/>
      <x:c r="Q34" s="92"/>
      <x:c r="R34" s="92"/>
      <x:c r="S34" s="92"/>
      <x:c r="T34" s="92"/>
      <x:c r="U34" s="92"/>
      <x:c r="V34" s="92"/>
    </x:row>
    <x:row r="35" ht="21.600000381469727" hidden="0" customHeight="1">
      <x:c r="A35" s="16" t="str">
        <x:v>本研究模型</x:v>
      </x:c>
      <x:c r="B35" s="16" t="str">
        <x:v>划定经济可行边界，不提供未来采用率</x:v>
      </x:c>
      <x:c r="C35" s="16" t="str">
        <x:v>八类场景加权</x:v>
      </x:c>
      <x:c r="D35" s="16" t="str">
        <x:v>主要联动知识工作和多模态负载</x:v>
      </x:c>
      <x:c r="E35" s="16" t="str">
        <x:v>进入模型/API、云、应用、服务及嵌入增量</x:v>
      </x:c>
      <x:c r="F35" s="16" t="str">
        <x:v>已兑现节省扣除外部AI费用后计入</x:v>
      </x:c>
      <x:c r="G35" s="16" t="str">
        <x:v>订阅/API、云部署和应用费用已在终端收入中，只扣一次</x:v>
      </x:c>
      <x:c r="H35" s="16" t="str">
        <x:v>2026E结果由模型生成，不锚定3000亿美元</x:v>
      </x:c>
      <x:c r="I35" s="92"/>
      <x:c r="J35" s="92"/>
      <x:c r="K35" s="92"/>
      <x:c r="L35" s="92"/>
      <x:c r="M35" s="92"/>
      <x:c r="N35" s="92"/>
      <x:c r="O35" s="92"/>
      <x:c r="P35" s="92"/>
      <x:c r="Q35" s="92"/>
      <x:c r="R35" s="92"/>
      <x:c r="S35" s="92"/>
      <x:c r="T35" s="92"/>
      <x:c r="U35" s="92"/>
      <x:c r="V35" s="92"/>
    </x:row>
    <x:row r="36" ht="15" hidden="0" customHeight="1">
      <x:c r="A36" s="16" t="str">
        <x:v>更新重点</x:v>
      </x:c>
      <x:c r="B36" s="16" t="str">
        <x:v>API成本/人工成本</x:v>
      </x:c>
      <x:c r="C36" s="16" t="str">
        <x:v>生产部署与任务完成率</x:v>
      </x:c>
      <x:c r="D36" s="16" t="str">
        <x:v>循环次数、上下文、模态强度</x:v>
      </x:c>
      <x:c r="E36" s="16" t="str">
        <x:v>付费席位/任务/调用</x:v>
      </x:c>
      <x:c r="F36" s="16" t="str">
        <x:v>成本率与利润兑现</x:v>
      </x:c>
      <x:c r="G36" s="16" t="str">
        <x:v>云—模型—应用内部交易</x:v>
      </x:c>
      <x:c r="H36" s="16" t="str">
        <x:v>同步更新网页与Excel</x:v>
      </x:c>
      <x:c r="I36" s="92"/>
      <x:c r="J36" s="92"/>
      <x:c r="K36" s="92"/>
      <x:c r="L36" s="92"/>
      <x:c r="M36" s="92"/>
      <x:c r="N36" s="92"/>
      <x:c r="O36" s="92"/>
      <x:c r="P36" s="92"/>
      <x:c r="Q36" s="92"/>
      <x:c r="R36" s="92"/>
      <x:c r="S36" s="92"/>
      <x:c r="T36" s="92"/>
      <x:c r="U36" s="92"/>
      <x:c r="V36" s="92"/>
    </x:row>
    <x:row r="37" ht="15" hidden="0" customHeight="1">
      <x:c r="A37" s="92"/>
      <x:c r="B37" s="92"/>
      <x:c r="C37" s="92"/>
      <x:c r="D37" s="92"/>
      <x:c r="E37" s="92"/>
      <x:c r="F37" s="92"/>
      <x:c r="G37" s="92"/>
      <x:c r="H37" s="92"/>
      <x:c r="I37" s="92"/>
      <x:c r="J37" s="92"/>
      <x:c r="K37" s="92"/>
      <x:c r="L37" s="92"/>
      <x:c r="M37" s="92"/>
      <x:c r="N37" s="92"/>
      <x:c r="O37" s="92"/>
      <x:c r="P37" s="92"/>
      <x:c r="Q37" s="92"/>
      <x:c r="R37" s="92"/>
      <x:c r="S37" s="92"/>
      <x:c r="T37" s="92"/>
      <x:c r="U37" s="92"/>
      <x:c r="V37" s="92"/>
    </x:row>
    <x:row r="38" ht="15" hidden="0" customHeight="1">
      <x:c r="A38" s="92"/>
      <x:c r="B38" s="92"/>
      <x:c r="C38" s="92"/>
      <x:c r="D38" s="92"/>
      <x:c r="E38" s="92"/>
      <x:c r="F38" s="92"/>
      <x:c r="G38" s="92"/>
      <x:c r="H38" s="92"/>
      <x:c r="I38" s="92"/>
      <x:c r="J38" s="92"/>
      <x:c r="K38" s="92"/>
      <x:c r="L38" s="92"/>
      <x:c r="M38" s="92"/>
      <x:c r="N38" s="92"/>
      <x:c r="O38" s="92"/>
      <x:c r="P38" s="92"/>
      <x:c r="Q38" s="92"/>
      <x:c r="R38" s="92"/>
      <x:c r="S38" s="92"/>
      <x:c r="T38" s="92"/>
      <x:c r="U38" s="92"/>
      <x:c r="V38" s="92"/>
    </x:row>
    <x:row r="39" ht="15" hidden="0" customHeight="1">
      <x:c r="A39" s="29" t="str">
        <x:v>企业工作场景相关有效Token指数（2026E=1.0倍）</x:v>
      </x:c>
      <x:c r="B39" s="29" t="str">
        <x:v>企业工作场景相关有效Token指数（2026E=1.0倍）</x:v>
      </x:c>
      <x:c r="C39" s="29" t="str">
        <x:v>企业工作场景相关有效Token指数（2026E=1.0倍）</x:v>
      </x:c>
      <x:c r="D39" s="29" t="str">
        <x:v>企业工作场景相关有效Token指数（2026E=1.0倍）</x:v>
      </x:c>
      <x:c r="E39" s="29" t="str">
        <x:v>企业工作场景相关有效Token指数（2026E=1.0倍）</x:v>
      </x:c>
      <x:c r="F39" s="29" t="str">
        <x:v>企业工作场景相关有效Token指数（2026E=1.0倍）</x:v>
      </x:c>
      <x:c r="G39" s="29" t="str">
        <x:v>企业工作场景相关有效Token指数（2026E=1.0倍）</x:v>
      </x:c>
      <x:c r="H39" s="29" t="str">
        <x:v>企业工作场景相关有效Token指数（2026E=1.0倍）</x:v>
      </x:c>
      <x:c r="I39" s="92"/>
      <x:c r="J39" s="92"/>
      <x:c r="K39" s="92"/>
      <x:c r="L39" s="92"/>
      <x:c r="M39" s="92"/>
      <x:c r="N39" s="92"/>
      <x:c r="O39" s="92"/>
      <x:c r="P39" s="92"/>
      <x:c r="Q39" s="92"/>
      <x:c r="R39" s="92"/>
      <x:c r="S39" s="92"/>
      <x:c r="T39" s="92"/>
      <x:c r="U39" s="92"/>
      <x:c r="V39" s="92"/>
    </x:row>
    <x:row r="40" ht="15" hidden="0" customHeight="1">
      <x:c r="A40" s="92"/>
      <x:c r="B40" s="92"/>
      <x:c r="C40" s="92"/>
      <x:c r="D40" s="92"/>
      <x:c r="E40" s="92"/>
      <x:c r="F40" s="92"/>
      <x:c r="G40" s="92"/>
      <x:c r="H40" s="92"/>
      <x:c r="I40" s="92"/>
      <x:c r="J40" s="92"/>
      <x:c r="K40" s="92"/>
      <x:c r="L40" s="92"/>
      <x:c r="M40" s="92"/>
      <x:c r="N40" s="92"/>
      <x:c r="O40" s="92"/>
      <x:c r="P40" s="92"/>
      <x:c r="Q40" s="92"/>
      <x:c r="R40" s="92"/>
      <x:c r="S40" s="92"/>
      <x:c r="T40" s="92"/>
      <x:c r="U40" s="92"/>
      <x:c r="V40" s="92"/>
    </x:row>
    <x:row r="41" ht="21.600000381469727" hidden="0" customHeight="1">
      <x:c r="A41" s="12" t="str">
        <x:v>年份</x:v>
      </x:c>
      <x:c r="B41" s="12" t="str">
        <x:v>知识工作智能体有效Token</x:v>
      </x:c>
      <x:c r="C41" s="12" t="str">
        <x:v>多模态有效Token</x:v>
      </x:c>
      <x:c r="D41" s="12" t="str">
        <x:v>多模态归因比例</x:v>
      </x:c>
      <x:c r="E41" s="12" t="str">
        <x:v>企业工作场景相关有效Token</x:v>
      </x:c>
      <x:c r="F41" s="12" t="str">
        <x:v>相对2026E指数</x:v>
      </x:c>
      <x:c r="G41" s="92"/>
      <x:c r="H41" s="92"/>
      <x:c r="I41" s="92"/>
      <x:c r="J41" s="92"/>
      <x:c r="K41" s="92"/>
      <x:c r="L41" s="92"/>
      <x:c r="M41" s="92"/>
      <x:c r="N41" s="92"/>
      <x:c r="O41" s="92"/>
      <x:c r="P41" s="92"/>
      <x:c r="Q41" s="92"/>
      <x:c r="R41" s="92"/>
      <x:c r="S41" s="92"/>
      <x:c r="T41" s="92"/>
      <x:c r="U41" s="92"/>
      <x:c r="V41" s="92"/>
    </x:row>
    <x:row r="42" ht="15" hidden="0" customHeight="1">
      <x:c r="A42" s="16" t="n">
        <x:v>2026</x:v>
      </x:c>
      <x:c r="B42" s="45" t="n">
        <x:f>'Token量价利'!B6</x:f>
        <x:v>2.8</x:v>
      </x:c>
      <x:c r="C42" s="45" t="n">
        <x:f>'Token量价利'!B8</x:f>
        <x:v>2</x:v>
      </x:c>
      <x:c r="D42" s="68" t="n">
        <x:v>0.5</x:v>
      </x:c>
      <x:c r="E42" s="45" t="n">
        <x:f>B42+C42*D42</x:f>
        <x:v>3.8</x:v>
      </x:c>
      <x:c r="F42" s="69" t="n">
        <x:f>E42/$E$42</x:f>
        <x:v>1</x:v>
      </x:c>
      <x:c r="G42" s="92"/>
      <x:c r="H42" s="92"/>
      <x:c r="I42" s="92"/>
      <x:c r="J42" s="92"/>
      <x:c r="K42" s="92"/>
      <x:c r="L42" s="92"/>
      <x:c r="M42" s="92"/>
      <x:c r="N42" s="92"/>
      <x:c r="O42" s="92"/>
      <x:c r="P42" s="92"/>
      <x:c r="Q42" s="92"/>
      <x:c r="R42" s="92"/>
      <x:c r="S42" s="92"/>
      <x:c r="T42" s="92"/>
      <x:c r="U42" s="92"/>
      <x:c r="V42" s="92"/>
    </x:row>
    <x:row r="43" ht="15" hidden="0" customHeight="1">
      <x:c r="A43" s="16" t="n">
        <x:v>2027</x:v>
      </x:c>
      <x:c r="B43" s="45" t="n">
        <x:f>'Token量价利'!C6</x:f>
        <x:v>10</x:v>
      </x:c>
      <x:c r="C43" s="45" t="n">
        <x:f>'Token量价利'!C8</x:f>
        <x:v>6</x:v>
      </x:c>
      <x:c r="D43" s="68" t="n">
        <x:v>0.5</x:v>
      </x:c>
      <x:c r="E43" s="45" t="n">
        <x:f>B43+C43*D43</x:f>
        <x:v>13</x:v>
      </x:c>
      <x:c r="F43" s="69" t="n">
        <x:f>E43/$E$42</x:f>
        <x:v>3.4210526315789473</x:v>
      </x:c>
      <x:c r="G43" s="92"/>
      <x:c r="H43" s="92"/>
      <x:c r="I43" s="92"/>
      <x:c r="J43" s="92"/>
      <x:c r="K43" s="92"/>
      <x:c r="L43" s="92"/>
      <x:c r="M43" s="92"/>
      <x:c r="N43" s="92"/>
      <x:c r="O43" s="92"/>
      <x:c r="P43" s="92"/>
      <x:c r="Q43" s="92"/>
      <x:c r="R43" s="92"/>
      <x:c r="S43" s="92"/>
      <x:c r="T43" s="92"/>
      <x:c r="U43" s="92"/>
      <x:c r="V43" s="92"/>
    </x:row>
    <x:row r="44" ht="15" hidden="0" customHeight="1">
      <x:c r="A44" s="16" t="n">
        <x:v>2028</x:v>
      </x:c>
      <x:c r="B44" s="45" t="n">
        <x:f>'Token量价利'!D6</x:f>
        <x:v>29</x:v>
      </x:c>
      <x:c r="C44" s="45" t="n">
        <x:f>'Token量价利'!D8</x:f>
        <x:v>20</x:v>
      </x:c>
      <x:c r="D44" s="68" t="n">
        <x:v>0.5</x:v>
      </x:c>
      <x:c r="E44" s="45" t="n">
        <x:f>B44+C44*D44</x:f>
        <x:v>39</x:v>
      </x:c>
      <x:c r="F44" s="69" t="n">
        <x:f>E44/$E$42</x:f>
        <x:v>10.263157894736842</x:v>
      </x:c>
      <x:c r="G44" s="92"/>
      <x:c r="H44" s="92"/>
      <x:c r="I44" s="92"/>
      <x:c r="J44" s="92"/>
      <x:c r="K44" s="92"/>
      <x:c r="L44" s="92"/>
      <x:c r="M44" s="92"/>
      <x:c r="N44" s="92"/>
      <x:c r="O44" s="92"/>
      <x:c r="P44" s="92"/>
      <x:c r="Q44" s="92"/>
      <x:c r="R44" s="92"/>
      <x:c r="S44" s="92"/>
      <x:c r="T44" s="92"/>
      <x:c r="U44" s="92"/>
      <x:c r="V44" s="92"/>
    </x:row>
    <x:row r="45" ht="15" hidden="0" customHeight="1">
      <x:c r="A45" s="16" t="n">
        <x:v>2029</x:v>
      </x:c>
      <x:c r="B45" s="45" t="n">
        <x:f>'Token量价利'!E6</x:f>
        <x:v>66</x:v>
      </x:c>
      <x:c r="C45" s="45" t="n">
        <x:f>'Token量价利'!E8</x:f>
        <x:v>48</x:v>
      </x:c>
      <x:c r="D45" s="68" t="n">
        <x:v>0.5</x:v>
      </x:c>
      <x:c r="E45" s="45" t="n">
        <x:f>B45+C45*D45</x:f>
        <x:v>90</x:v>
      </x:c>
      <x:c r="F45" s="69" t="n">
        <x:f>E45/$E$42</x:f>
        <x:v>23.68421052631579</x:v>
      </x:c>
      <x:c r="G45" s="92"/>
      <x:c r="H45" s="92"/>
      <x:c r="I45" s="92"/>
      <x:c r="J45" s="92"/>
      <x:c r="K45" s="92"/>
      <x:c r="L45" s="92"/>
      <x:c r="M45" s="92"/>
      <x:c r="N45" s="92"/>
      <x:c r="O45" s="92"/>
      <x:c r="P45" s="92"/>
      <x:c r="Q45" s="92"/>
      <x:c r="R45" s="92"/>
      <x:c r="S45" s="92"/>
      <x:c r="T45" s="92"/>
      <x:c r="U45" s="92"/>
      <x:c r="V45" s="92"/>
    </x:row>
    <x:row r="46" ht="15" hidden="0" customHeight="1">
      <x:c r="A46" s="16" t="n">
        <x:v>2030</x:v>
      </x:c>
      <x:c r="B46" s="45" t="n">
        <x:f>'Token量价利'!F6</x:f>
        <x:v>108</x:v>
      </x:c>
      <x:c r="C46" s="45" t="n">
        <x:f>'Token量价利'!F8</x:f>
        <x:v>114</x:v>
      </x:c>
      <x:c r="D46" s="68" t="n">
        <x:v>0.5</x:v>
      </x:c>
      <x:c r="E46" s="45" t="n">
        <x:f>B46+C46*D46</x:f>
        <x:v>165</x:v>
      </x:c>
      <x:c r="F46" s="69" t="n">
        <x:f>E46/$E$42</x:f>
        <x:v>43.42105263157895</x:v>
      </x:c>
      <x:c r="G46" s="92"/>
      <x:c r="H46" s="92"/>
      <x:c r="I46" s="92"/>
      <x:c r="J46" s="92"/>
      <x:c r="K46" s="92"/>
      <x:c r="L46" s="92"/>
      <x:c r="M46" s="92"/>
      <x:c r="N46" s="92"/>
      <x:c r="O46" s="92"/>
      <x:c r="P46" s="92"/>
      <x:c r="Q46" s="92"/>
      <x:c r="R46" s="92"/>
      <x:c r="S46" s="92"/>
      <x:c r="T46" s="92"/>
      <x:c r="U46" s="92"/>
      <x:c r="V46" s="92"/>
    </x:row>
    <x:row r="47" ht="15" hidden="0" customHeight="1">
      <x:c r="A47" s="92"/>
      <x:c r="B47" s="92"/>
      <x:c r="C47" s="92"/>
      <x:c r="D47" s="92"/>
      <x:c r="E47" s="92"/>
      <x:c r="F47" s="92"/>
      <x:c r="G47" s="92"/>
      <x:c r="H47" s="92"/>
      <x:c r="I47" s="92"/>
      <x:c r="J47" s="92"/>
      <x:c r="K47" s="92"/>
      <x:c r="L47" s="92"/>
      <x:c r="M47" s="92"/>
      <x:c r="N47" s="92"/>
      <x:c r="O47" s="92"/>
      <x:c r="P47" s="92"/>
      <x:c r="Q47" s="92"/>
      <x:c r="R47" s="92"/>
      <x:c r="S47" s="92"/>
      <x:c r="T47" s="92"/>
      <x:c r="U47" s="92"/>
      <x:c r="V47" s="92"/>
    </x:row>
    <x:row r="48" ht="15" hidden="0" customHeight="1">
      <x:c r="A48" s="16" t="str">
        <x:v>公式</x:v>
      </x:c>
      <x:c r="B48" s="16" t="str">
        <x:v>（知识工作智能体有效Token+50%×多模态有效Token）÷2026E同口径有效Token</x:v>
      </x:c>
      <x:c r="C48" s="16" t="str"/>
      <x:c r="D48" s="16" t="str"/>
      <x:c r="E48" s="16" t="str"/>
      <x:c r="F48" s="16" t="str"/>
      <x:c r="G48" s="16" t="str"/>
      <x:c r="H48" s="16" t="str"/>
      <x:c r="I48" s="92"/>
      <x:c r="J48" s="92"/>
      <x:c r="K48" s="92"/>
      <x:c r="L48" s="92"/>
      <x:c r="M48" s="92"/>
      <x:c r="N48" s="92"/>
      <x:c r="O48" s="92"/>
      <x:c r="P48" s="92"/>
      <x:c r="Q48" s="92"/>
      <x:c r="R48" s="92"/>
      <x:c r="S48" s="92"/>
      <x:c r="T48" s="92"/>
      <x:c r="U48" s="92"/>
      <x:c r="V48" s="92"/>
    </x:row>
    <x:row r="49" ht="15" hidden="0" customHeight="1">
      <x:c r="A49" s="16" t="str">
        <x:v>用途</x:v>
      </x:c>
      <x:c r="B49" s="16" t="str">
        <x:v>观察企业生产级工作流相关算力强度的变化，包含智能体循环、上下文长度、多模态负载和生产级渗透假设的共同影响。</x:v>
      </x:c>
      <x:c r="C49" s="16" t="str"/>
      <x:c r="D49" s="16" t="str"/>
      <x:c r="E49" s="16" t="str"/>
      <x:c r="F49" s="16" t="str"/>
      <x:c r="G49" s="16" t="str"/>
      <x:c r="H49" s="16" t="str"/>
      <x:c r="I49" s="92"/>
      <x:c r="J49" s="92"/>
      <x:c r="K49" s="92"/>
      <x:c r="L49" s="92"/>
      <x:c r="M49" s="92"/>
      <x:c r="N49" s="92"/>
      <x:c r="O49" s="92"/>
      <x:c r="P49" s="92"/>
      <x:c r="Q49" s="92"/>
      <x:c r="R49" s="92"/>
      <x:c r="S49" s="92"/>
      <x:c r="T49" s="92"/>
      <x:c r="U49" s="92"/>
      <x:c r="V49" s="92"/>
    </x:row>
    <x:row r="50" ht="15" hidden="0" customHeight="1">
      <x:c r="A50" s="16" t="str">
        <x:v>50%多模态归因</x:v>
      </x:c>
      <x:c r="B50" s="16" t="str">
        <x:v>多模态同时服务消费与企业工作流；当前只把50%归入企业工作场景相关负载，属于研究假设。</x:v>
      </x:c>
      <x:c r="C50" s="16" t="str"/>
      <x:c r="D50" s="16" t="str"/>
      <x:c r="E50" s="16" t="str"/>
      <x:c r="F50" s="16" t="str"/>
      <x:c r="G50" s="16" t="str"/>
      <x:c r="H50" s="16" t="str"/>
      <x:c r="I50" s="92"/>
      <x:c r="J50" s="92"/>
      <x:c r="K50" s="92"/>
      <x:c r="L50" s="92"/>
      <x:c r="M50" s="92"/>
      <x:c r="N50" s="92"/>
      <x:c r="O50" s="92"/>
      <x:c r="P50" s="92"/>
      <x:c r="Q50" s="92"/>
      <x:c r="R50" s="92"/>
      <x:c r="S50" s="92"/>
      <x:c r="T50" s="92"/>
      <x:c r="U50" s="92"/>
      <x:c r="V50" s="92"/>
    </x:row>
    <x:row r="51" ht="15" hidden="0" customHeight="1">
      <x:c r="A51" s="16" t="str">
        <x:v>去重边界</x:v>
      </x:c>
      <x:c r="B51" s="16" t="str">
        <x:v>诊断与交叉校验指标，不是全行业Token总量、不是收入，也不作为应用收入的额外乘数；底层Token已通过可计费比例和价格进入模型/API及云AI收入。</x:v>
      </x:c>
      <x:c r="C51" s="16" t="str"/>
      <x:c r="D51" s="16" t="str"/>
      <x:c r="E51" s="16" t="str"/>
      <x:c r="F51" s="16" t="str"/>
      <x:c r="G51" s="16" t="str"/>
      <x:c r="H51" s="16" t="str"/>
      <x:c r="I51" s="92"/>
      <x:c r="J51" s="92"/>
      <x:c r="K51" s="92"/>
      <x:c r="L51" s="92"/>
      <x:c r="M51" s="92"/>
      <x:c r="N51" s="92"/>
      <x:c r="O51" s="92"/>
      <x:c r="P51" s="92"/>
      <x:c r="Q51" s="92"/>
      <x:c r="R51" s="92"/>
      <x:c r="S51" s="92"/>
      <x:c r="T51" s="92"/>
      <x:c r="U51" s="92"/>
      <x:c r="V51" s="92"/>
    </x:row>
    <x:row r="52" ht="15" hidden="0" customHeight="1">
      <x:c r="A52" s="92"/>
      <x:c r="B52" s="92"/>
      <x:c r="C52" s="92"/>
      <x:c r="D52" s="92"/>
      <x:c r="E52" s="92"/>
      <x:c r="F52" s="92"/>
      <x:c r="G52" s="92"/>
      <x:c r="H52" s="92"/>
      <x:c r="I52" s="92"/>
      <x:c r="J52" s="92"/>
      <x:c r="K52" s="92"/>
      <x:c r="L52" s="92"/>
      <x:c r="M52" s="92"/>
      <x:c r="N52" s="92"/>
      <x:c r="O52" s="92"/>
      <x:c r="P52" s="92"/>
      <x:c r="Q52" s="92"/>
      <x:c r="R52" s="92"/>
      <x:c r="S52" s="92"/>
      <x:c r="T52" s="92"/>
      <x:c r="U52" s="92"/>
      <x:c r="V52" s="92"/>
    </x:row>
    <x:row r="53" ht="15" hidden="0" customHeight="1">
      <x:c r="A53" s="92"/>
      <x:c r="B53" s="92"/>
      <x:c r="C53" s="92"/>
      <x:c r="D53" s="92"/>
      <x:c r="E53" s="92"/>
      <x:c r="F53" s="92"/>
      <x:c r="G53" s="92"/>
      <x:c r="H53" s="92"/>
      <x:c r="I53" s="92"/>
      <x:c r="J53" s="92"/>
      <x:c r="K53" s="92"/>
      <x:c r="L53" s="92"/>
      <x:c r="M53" s="92"/>
      <x:c r="N53" s="92"/>
      <x:c r="O53" s="92"/>
      <x:c r="P53" s="92"/>
      <x:c r="Q53" s="92"/>
      <x:c r="R53" s="92"/>
      <x:c r="S53" s="92"/>
      <x:c r="T53" s="92"/>
      <x:c r="U53" s="92"/>
      <x:c r="V53" s="92"/>
    </x:row>
    <x:row r="54" ht="15" hidden="0" customHeight="1">
      <x:c r="A54" s="29" t="str">
        <x:v>企业内部效率成本池组成（亿美元）</x:v>
      </x:c>
      <x:c r="B54" s="29" t="str">
        <x:v>企业内部效率成本池组成（亿美元）</x:v>
      </x:c>
      <x:c r="C54" s="29" t="str">
        <x:v>企业内部效率成本池组成（亿美元）</x:v>
      </x:c>
      <x:c r="D54" s="29" t="str">
        <x:v>企业内部效率成本池组成（亿美元）</x:v>
      </x:c>
      <x:c r="E54" s="29" t="str">
        <x:v>企业内部效率成本池组成（亿美元）</x:v>
      </x:c>
      <x:c r="F54" s="92"/>
      <x:c r="G54" s="29" t="str">
        <x:v>外部AI费用去重分配</x:v>
      </x:c>
      <x:c r="H54" s="29" t="str">
        <x:v>外部AI费用去重分配</x:v>
      </x:c>
      <x:c r="I54" s="29" t="str">
        <x:v>外部AI费用去重分配</x:v>
      </x:c>
      <x:c r="J54" s="92"/>
      <x:c r="K54" s="92"/>
      <x:c r="L54" s="92"/>
      <x:c r="M54" s="92"/>
      <x:c r="N54" s="92"/>
      <x:c r="O54" s="92"/>
      <x:c r="P54" s="92"/>
      <x:c r="Q54" s="92"/>
      <x:c r="R54" s="92"/>
      <x:c r="S54" s="92"/>
      <x:c r="T54" s="92"/>
      <x:c r="U54" s="92"/>
      <x:c r="V54" s="92"/>
    </x:row>
    <x:row r="55" ht="15" hidden="0" customHeight="1">
      <x:c r="A55" s="106" t="str">
        <x:v>成本池组成</x:v>
      </x:c>
      <x:c r="B55" s="106" t="str">
        <x:v>2026E</x:v>
      </x:c>
      <x:c r="C55" s="106" t="str">
        <x:v>2030E</x:v>
      </x:c>
      <x:c r="D55" s="106" t="str">
        <x:v>进入模型的范围</x:v>
      </x:c>
      <x:c r="E55" s="106" t="str">
        <x:v>边界</x:v>
      </x:c>
      <x:c r="F55" s="92"/>
      <x:c r="G55" s="12" t="str">
        <x:v>外部AI费用去重分配</x:v>
      </x:c>
      <x:c r="H55" s="12" t="str">
        <x:v>占比</x:v>
      </x:c>
      <x:c r="I55" s="12" t="str">
        <x:v>对应供应商收入池</x:v>
      </x:c>
      <x:c r="J55" s="92"/>
      <x:c r="K55" s="92"/>
      <x:c r="L55" s="92"/>
      <x:c r="M55" s="92"/>
      <x:c r="N55" s="92"/>
      <x:c r="O55" s="92"/>
      <x:c r="P55" s="92"/>
      <x:c r="Q55" s="92"/>
      <x:c r="R55" s="92"/>
      <x:c r="S55" s="92"/>
      <x:c r="T55" s="92"/>
      <x:c r="U55" s="92"/>
      <x:c r="V55" s="92"/>
    </x:row>
    <x:row r="56" ht="15" hidden="0" customHeight="1">
      <x:c r="A56" s="16" t="str">
        <x:v>知识工作与专业服务人力</x:v>
      </x:c>
      <x:c r="B56" s="67" t="n">
        <x:v>35000</x:v>
      </x:c>
      <x:c r="C56" s="67" t="n">
        <x:v>46000</x:v>
      </x:c>
      <x:c r="D56" s="16" t="str">
        <x:v>研发、研究、法务、财务、管理与外包专业服务</x:v>
      </x:c>
      <x:c r="E56" s="16" t="str">
        <x:v>保持2026年可比定义，仅按工资、就业与外包市场扩张</x:v>
      </x:c>
      <x:c r="F56" s="92"/>
      <x:c r="G56" s="16" t="str">
        <x:v>闭源模型订阅与API</x:v>
      </x:c>
      <x:c r="H56" s="68" t="n">
        <x:v>0.25</x:v>
      </x:c>
      <x:c r="I56" s="16" t="str">
        <x:v>模型与API收入</x:v>
      </x:c>
      <x:c r="J56" s="92"/>
      <x:c r="K56" s="92"/>
      <x:c r="L56" s="92"/>
      <x:c r="M56" s="92"/>
      <x:c r="N56" s="92"/>
      <x:c r="O56" s="92"/>
      <x:c r="P56" s="92"/>
      <x:c r="Q56" s="92"/>
      <x:c r="R56" s="92"/>
      <x:c r="S56" s="92"/>
      <x:c r="T56" s="92"/>
      <x:c r="U56" s="92"/>
      <x:c r="V56" s="92"/>
    </x:row>
    <x:row r="57" ht="15" hidden="0" customHeight="1">
      <x:c r="A57" s="16" t="str">
        <x:v>客户运营与销售支持</x:v>
      </x:c>
      <x:c r="B57" s="67" t="n">
        <x:v>18000</x:v>
      </x:c>
      <x:c r="C57" s="67" t="n">
        <x:v>23000</x:v>
      </x:c>
      <x:c r="D57" s="16" t="str">
        <x:v>客服、呼叫中心、销售运营与客户成功</x:v>
      </x:c>
      <x:c r="E57" s="16" t="str">
        <x:v>不把AI带来的对外收入增量计入成本节省</x:v>
      </x:c>
      <x:c r="F57" s="92"/>
      <x:c r="G57" s="16" t="str">
        <x:v>开放模型云部署与托管推理</x:v>
      </x:c>
      <x:c r="H57" s="68" t="n">
        <x:v>0.25</x:v>
      </x:c>
      <x:c r="I57" s="16" t="str">
        <x:v>云AI与模型即服务（MaaS）收入</x:v>
      </x:c>
      <x:c r="J57" s="92"/>
      <x:c r="K57" s="92"/>
      <x:c r="L57" s="92"/>
      <x:c r="M57" s="92"/>
      <x:c r="N57" s="92"/>
      <x:c r="O57" s="92"/>
      <x:c r="P57" s="92"/>
      <x:c r="Q57" s="92"/>
      <x:c r="R57" s="92"/>
      <x:c r="S57" s="92"/>
      <x:c r="T57" s="92"/>
      <x:c r="U57" s="92"/>
      <x:c r="V57" s="92"/>
    </x:row>
    <x:row r="58" ht="15" hidden="0" customHeight="1">
      <x:c r="A58" s="16" t="str">
        <x:v>软件研发、数据与IT运维</x:v>
      </x:c>
      <x:c r="B58" s="67" t="n">
        <x:v>11000</x:v>
      </x:c>
      <x:c r="C58" s="67" t="n">
        <x:v>15500</x:v>
      </x:c>
      <x:c r="D58" s="16" t="str">
        <x:v>开发、测试、数据处理、基础运维与安全运营</x:v>
      </x:c>
      <x:c r="E58" s="16" t="str">
        <x:v>企业自建AI资产仍在投资端和折旧端处理</x:v>
      </x:c>
      <x:c r="F58" s="92"/>
      <x:c r="G58" s="16" t="str">
        <x:v>AI应用席位与按任务收费</x:v>
      </x:c>
      <x:c r="H58" s="68" t="n">
        <x:v>0.3</x:v>
      </x:c>
      <x:c r="I58" s="16" t="str">
        <x:v>AI原生应用与大厂自有AI应用收入</x:v>
      </x:c>
      <x:c r="J58" s="92"/>
      <x:c r="K58" s="92"/>
      <x:c r="L58" s="92"/>
      <x:c r="M58" s="92"/>
      <x:c r="N58" s="92"/>
      <x:c r="O58" s="92"/>
      <x:c r="P58" s="92"/>
      <x:c r="Q58" s="92"/>
      <x:c r="R58" s="92"/>
      <x:c r="S58" s="92"/>
      <x:c r="T58" s="92"/>
      <x:c r="U58" s="92"/>
      <x:c r="V58" s="92"/>
    </x:row>
    <x:row r="59" ht="15" hidden="0" customHeight="1">
      <x:c r="A59" s="16" t="str">
        <x:v>营销、内容与研究运营</x:v>
      </x:c>
      <x:c r="B59" s="67" t="n">
        <x:v>9000</x:v>
      </x:c>
      <x:c r="C59" s="67" t="n">
        <x:v>12500</x:v>
      </x:c>
      <x:c r="D59" s="16" t="str">
        <x:v>内容生产、广告运营、市场研究与知识管理</x:v>
      </x:c>
      <x:c r="E59" s="16" t="str">
        <x:v>只计已进入利润或可计量经营结果的节省</x:v>
      </x:c>
      <x:c r="F59" s="92"/>
      <x:c r="G59" s="16" t="str">
        <x:v>实施、数据治理与外部服务</x:v>
      </x:c>
      <x:c r="H59" s="68" t="n">
        <x:v>0.2</x:v>
      </x:c>
      <x:c r="I59" s="16" t="str">
        <x:v>AI服务与行业解决方案收入</x:v>
      </x:c>
      <x:c r="J59" s="92"/>
      <x:c r="K59" s="92"/>
      <x:c r="L59" s="92"/>
      <x:c r="M59" s="92"/>
      <x:c r="N59" s="92"/>
      <x:c r="O59" s="92"/>
      <x:c r="P59" s="92"/>
      <x:c r="Q59" s="92"/>
      <x:c r="R59" s="92"/>
      <x:c r="S59" s="92"/>
      <x:c r="T59" s="92"/>
      <x:c r="U59" s="92"/>
      <x:c r="V59" s="92"/>
    </x:row>
    <x:row r="60" ht="15" hidden="0" customHeight="1">
      <x:c r="A60" s="16" t="str">
        <x:v>其他结构化后台与行业流程</x:v>
      </x:c>
      <x:c r="B60" s="67" t="n">
        <x:v>7000</x:v>
      </x:c>
      <x:c r="C60" s="67" t="n">
        <x:v>11500</x:v>
      </x:c>
      <x:c r="D60" s="16" t="str">
        <x:v>文档处理、行政、供应链及行业专用流程</x:v>
      </x:c>
      <x:c r="E60" s="16" t="str">
        <x:v>高责任工作保留较低自动化和兑现比例</x:v>
      </x:c>
      <x:c r="F60" s="92"/>
      <x:c r="G60" s="16" t="str">
        <x:v>合计</x:v>
      </x:c>
      <x:c r="H60" s="68" t="n">
        <x:v>1</x:v>
      </x:c>
      <x:c r="I60" s="16" t="str">
        <x:v>不超过同年上述供应商终端收入池</x:v>
      </x:c>
      <x:c r="J60" s="92"/>
      <x:c r="K60" s="92"/>
      <x:c r="L60" s="92"/>
      <x:c r="M60" s="92"/>
      <x:c r="N60" s="92"/>
      <x:c r="O60" s="92"/>
      <x:c r="P60" s="92"/>
      <x:c r="Q60" s="92"/>
      <x:c r="R60" s="92"/>
      <x:c r="S60" s="92"/>
      <x:c r="T60" s="92"/>
      <x:c r="U60" s="92"/>
      <x:c r="V60" s="92"/>
    </x:row>
    <x:row r="61" ht="21.600000381469727" hidden="0" customHeight="1">
      <x:c r="A61" s="16" t="str">
        <x:v>合计</x:v>
      </x:c>
      <x:c r="B61" s="67" t="n">
        <x:v>80000</x:v>
      </x:c>
      <x:c r="C61" s="67" t="n">
        <x:v>108500</x:v>
      </x:c>
      <x:c r="D61" s="16" t="str">
        <x:v>五类成本池加总</x:v>
      </x:c>
      <x:c r="E61" s="16" t="str">
        <x:v>按同口径成本池增长，不再把新增AI可影响范围同时计入成本池和工作流渗透率</x:v>
      </x:c>
      <x:c r="F61" s="92"/>
      <x:c r="G61" s="92"/>
      <x:c r="H61" s="92"/>
      <x:c r="I61" s="92"/>
      <x:c r="J61" s="92"/>
      <x:c r="K61" s="92"/>
      <x:c r="L61" s="92"/>
      <x:c r="M61" s="92"/>
      <x:c r="N61" s="92"/>
      <x:c r="O61" s="92"/>
      <x:c r="P61" s="92"/>
      <x:c r="Q61" s="92"/>
      <x:c r="R61" s="92"/>
      <x:c r="S61" s="92"/>
      <x:c r="T61" s="92"/>
      <x:c r="U61" s="92"/>
      <x:c r="V61" s="92"/>
    </x:row>
  </x:sheetData>
  <x:mergeCells>
    <x:mergeCell ref="A1:L1"/>
    <x:mergeCell ref="A2:L2"/>
    <x:mergeCell ref="A10:L10"/>
    <x:mergeCell ref="A24:I24"/>
    <x:mergeCell ref="A39:H39"/>
    <x:mergeCell ref="B48:H48"/>
    <x:mergeCell ref="B49:H49"/>
    <x:mergeCell ref="B50:H50"/>
    <x:mergeCell ref="B51:H51"/>
    <x:mergeCell ref="A54:E54"/>
    <x:mergeCell ref="G54:I54"/>
  </x:mergeCells>
  <x:pageMargins left="0.7" right="0.7" top="0.75" bottom="0.75" header="0.3" footer="0.3"/>
  <x:drawing xmlns:r="http://schemas.openxmlformats.org/officeDocument/2006/relationships" r:id="Ra757ad98ac2148e1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4" max="14" width="0.5" hidden="0" customWidth="1"/>
    <x:col min="15" max="15" width="0.5" hidden="0" customWidth="1"/>
    <x:col min="16" max="16" width="0.5" hidden="0" customWidth="1"/>
    <x:col min="17" max="17" width="0.5" hidden="0" customWidth="1"/>
    <x:col min="1" max="1" width="34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8" max="18" width="0.5" hidden="0" customWidth="1"/>
    <x:col min="19" max="19" width="0.5" hidden="0" customWidth="1"/>
    <x:col min="20" max="20" width="0.5" hidden="0" customWidth="1"/>
    <x:col min="21" max="21" width="0.5" hidden="0" customWidth="1"/>
    <x:col min="22" max="22" width="0.5" hidden="0" customWidth="1"/>
    <x:col min="23" max="23" width="0.5" hidden="0" customWidth="1"/>
    <x:col min="24" max="24" width="0.5" hidden="0" customWidth="1"/>
    <x:col min="25" max="25" width="0.5" hidden="0" customWidth="1"/>
    <x:col min="26" max="26" width="0.5" hidden="0" customWidth="1"/>
    <x:col min="27" max="27" width="0.5" hidden="0" customWidth="1"/>
    <x:col min="28" max="28" width="0.5" hidden="0" customWidth="1"/>
    <x:col min="29" max="29" width="0.5" hidden="0" customWidth="1"/>
    <x:col min="30" max="30" width="0.5" hidden="0" customWidth="1"/>
    <x:col min="31" max="31" width="0.5" hidden="0" customWidth="1"/>
    <x:col min="32" max="32" width="0.5" hidden="0" customWidth="1"/>
    <x:col min="33" max="33" width="0.5" hidden="0" customWidth="1"/>
    <x:col min="34" max="34" width="0.5" hidden="0" customWidth="1"/>
    <x:col min="35" max="35" width="0.5" hidden="0" customWidth="1"/>
    <x:col min="36" max="36" width="0.5" hidden="0" customWidth="1"/>
    <x:col min="37" max="37" width="0.5" hidden="0" customWidth="1"/>
    <x:col min="38" max="38" width="0.5" hidden="0" customWidth="1"/>
    <x:col min="39" max="39" width="0.5" hidden="0" customWidth="1"/>
    <x:col min="40" max="40" width="0.5" hidden="0" customWidth="1"/>
    <x:col min="41" max="41" width="0.5" hidden="0" customWidth="1"/>
    <x:col min="42" max="42" width="0.5" hidden="0" customWidth="1"/>
    <x:col min="43" max="43" width="0.5" hidden="0" customWidth="1"/>
    <x:col min="44" max="44" width="0.5" hidden="0" customWidth="1"/>
    <x:col min="45" max="45" width="0.5" hidden="0" customWidth="1"/>
    <x:col min="46" max="46" width="0.5" hidden="0" customWidth="1"/>
    <x:col min="47" max="47" width="0.5" hidden="0" customWidth="1"/>
    <x:col min="48" max="48" width="0.5" hidden="0" customWidth="1"/>
    <x:col min="49" max="49" width="0.5" hidden="0" customWidth="1"/>
    <x:col min="50" max="50" width="0.5" hidden="0" customWidth="1"/>
    <x:col min="51" max="51" width="0.5" hidden="0" customWidth="1"/>
    <x:col min="52" max="52" width="0.5" hidden="0" customWidth="1"/>
    <x:col min="53" max="53" width="0.5" hidden="0" customWidth="1"/>
    <x:col min="54" max="54" width="0.5" hidden="0" customWidth="1"/>
    <x:col min="55" max="55" width="0.5" hidden="0" customWidth="1"/>
    <x:col min="56" max="56" width="0.5" hidden="0" customWidth="1"/>
    <x:col min="57" max="57" width="0.5" hidden="0" customWidth="1"/>
    <x:col min="58" max="58" width="0.5" hidden="0" customWidth="1"/>
    <x:col min="59" max="59" width="0.5" hidden="0" customWidth="1"/>
    <x:col min="60" max="60" width="0.5" hidden="0" customWidth="1"/>
    <x:col min="61" max="61" width="0.5" hidden="0" customWidth="1"/>
    <x:col min="62" max="62" width="0.5" hidden="0" customWidth="1"/>
    <x:col min="63" max="63" width="0.5" hidden="0" customWidth="1"/>
    <x:col min="64" max="64" width="0.5" hidden="0" customWidth="1"/>
    <x:col min="65" max="65" width="0.5" hidden="0" customWidth="1"/>
    <x:col min="66" max="66" width="0.5" hidden="0" customWidth="1"/>
    <x:col min="67" max="67" width="0.5" hidden="0" customWidth="1"/>
    <x:col min="68" max="68" width="0.5" hidden="0" customWidth="1"/>
    <x:col min="69" max="69" width="0.5" hidden="0" customWidth="1"/>
    <x:col min="70" max="70" width="0.5" hidden="0" customWidth="1"/>
    <x:col min="71" max="71" width="0.5" hidden="0" customWidth="1"/>
    <x:col min="72" max="72" width="0.5" hidden="0" customWidth="1"/>
    <x:col min="73" max="73" width="0.5" hidden="0" customWidth="1"/>
    <x:col min="74" max="74" width="0.5" hidden="0" customWidth="1"/>
    <x:col min="75" max="75" width="0.5" hidden="0" customWidth="1"/>
    <x:col min="76" max="76" width="0.5" hidden="0" customWidth="1"/>
    <x:col min="77" max="77" width="0.5" hidden="0" customWidth="1"/>
    <x:col min="78" max="78" width="0.5" hidden="0" customWidth="1"/>
    <x:col min="79" max="79" width="0.5" hidden="0" customWidth="1"/>
    <x:col min="80" max="80" width="0.5" hidden="0" customWidth="1"/>
    <x:col min="81" max="81" width="0.5" hidden="0" customWidth="1"/>
    <x:col min="82" max="82" width="0.5" hidden="0" customWidth="1"/>
    <x:col min="83" max="83" width="0.5" hidden="0" customWidth="1"/>
    <x:col min="84" max="84" width="0.5" hidden="0" customWidth="1"/>
    <x:col min="85" max="85" width="0.5" hidden="0" customWidth="1"/>
    <x:col min="86" max="86" width="0.5" hidden="0" customWidth="1"/>
    <x:col min="87" max="87" width="0.5" hidden="0" customWidth="1"/>
  </x:cols>
  <x:sheetData>
    <x:row r="1" ht="21.600000381469727" hidden="0" customHeight="1">
      <x:c r="A1" s="3" t="str">
        <x:v>AI应用回报｜Token与工作场景共同驱动的收入预测</x:v>
      </x:c>
      <x:c r="B1" s="3" t="str">
        <x:v>AI应用回报｜Token与工作场景共同驱动的收入预测</x:v>
      </x:c>
      <x:c r="C1" s="3" t="str">
        <x:v>AI应用回报｜Token与工作场景共同驱动的收入预测</x:v>
      </x:c>
      <x:c r="D1" s="3" t="str">
        <x:v>AI应用回报｜Token与工作场景共同驱动的收入预测</x:v>
      </x:c>
      <x:c r="E1" s="3" t="str">
        <x:v>AI应用回报｜Token与工作场景共同驱动的收入预测</x:v>
      </x:c>
      <x:c r="F1" s="3" t="str">
        <x:v>AI应用回报｜Token与工作场景共同驱动的收入预测</x:v>
      </x:c>
      <x:c r="G1" s="3" t="str">
        <x:v>AI应用回报｜Token与工作场景共同驱动的收入预测</x:v>
      </x:c>
      <x:c r="H1" s="3" t="str">
        <x:v>AI应用回报｜Token与工作场景共同驱动的收入预测</x:v>
      </x:c>
      <x:c r="I1" s="3" t="str">
        <x:v>AI应用回报｜Token与工作场景共同驱动的收入预测</x:v>
      </x:c>
      <x:c r="J1" s="3" t="str">
        <x:v>AI应用回报｜Token与工作场景共同驱动的收入预测</x:v>
      </x:c>
      <x:c r="K1" s="3" t="str">
        <x:v>AI应用回报｜Token与工作场景共同驱动的收入预测</x:v>
      </x:c>
      <x:c r="L1" s="3" t="str">
        <x:v>AI应用回报｜Token与工作场景共同驱动的收入预测</x:v>
      </x:c>
      <x:c r="M1" s="92"/>
      <x:c r="N1" s="92"/>
      <x:c r="O1" s="92"/>
      <x:c r="P1" s="92"/>
      <x:c r="Q1" s="92"/>
      <x:c r="R1" s="44"/>
      <x:c r="S1" s="44"/>
      <x:c r="T1" s="44"/>
      <x:c r="U1" s="44"/>
      <x:c r="V1" s="44"/>
      <x:c r="W1" s="44"/>
      <x:c r="X1" s="44"/>
      <x:c r="Y1" s="44"/>
      <x:c r="Z1" s="44"/>
      <x:c r="AA1" s="44"/>
      <x:c r="AB1" s="44"/>
      <x:c r="AC1" s="44"/>
      <x:c r="AD1" s="44"/>
      <x:c r="AE1" s="44"/>
      <x:c r="AF1" s="44"/>
      <x:c r="AG1" s="44"/>
      <x:c r="AH1" s="44"/>
      <x:c r="AI1" s="44"/>
      <x:c r="AJ1" s="44"/>
      <x:c r="AK1" s="44"/>
      <x:c r="AL1" s="44"/>
      <x:c r="AM1" s="44"/>
      <x:c r="AN1" s="44"/>
      <x:c r="AO1" s="44"/>
      <x:c r="AP1" s="44"/>
      <x:c r="AQ1" s="44"/>
      <x:c r="AR1" s="44"/>
      <x:c r="AS1" s="44"/>
      <x:c r="AT1" s="44"/>
      <x:c r="AU1" s="44"/>
      <x:c r="AV1" s="44"/>
      <x:c r="AW1" s="44"/>
      <x:c r="AX1" s="44"/>
      <x:c r="AY1" s="44"/>
      <x:c r="AZ1" s="44"/>
      <x:c r="BA1" s="44"/>
      <x:c r="BB1" s="44"/>
      <x:c r="BC1" s="44"/>
      <x:c r="BD1" s="44"/>
      <x:c r="BE1" s="44"/>
      <x:c r="BF1" s="44"/>
      <x:c r="BG1" s="44"/>
      <x:c r="BH1" s="44"/>
      <x:c r="BI1" s="44"/>
      <x:c r="BJ1" s="44"/>
      <x:c r="BK1" s="44"/>
      <x:c r="BL1" s="44"/>
      <x:c r="BM1" s="44"/>
      <x:c r="BN1" s="44"/>
      <x:c r="BO1" s="44"/>
      <x:c r="BP1" s="44"/>
      <x:c r="BQ1" s="44"/>
      <x:c r="BR1" s="44"/>
      <x:c r="BS1" s="44"/>
      <x:c r="BT1" s="44"/>
      <x:c r="BU1" s="44"/>
      <x:c r="BV1" s="44"/>
      <x:c r="BW1" s="44"/>
      <x:c r="BX1" s="44"/>
      <x:c r="BY1" s="44"/>
      <x:c r="BZ1" s="44"/>
      <x:c r="CA1" s="44"/>
      <x:c r="CB1" s="44"/>
      <x:c r="CC1" s="44"/>
      <x:c r="CD1" s="44"/>
      <x:c r="CE1" s="44"/>
      <x:c r="CF1" s="44"/>
      <x:c r="CG1" s="44"/>
      <x:c r="CH1" s="44"/>
      <x:c r="CI1" s="44"/>
    </x:row>
    <x:row r="2" ht="15" hidden="0" customHeight="1">
      <x:c r="A2" s="7" t="str">
        <x:v>2026E由实体收入、云AI、八类工作场景和供应链去重共同校准；3000亿美元仅作交叉验证。2027E以后按Token与生产级渗透联动。金额为亿美元。</x:v>
      </x:c>
      <x:c r="B2" s="7" t="str">
        <x:v>2026E由实体收入、云AI、八类工作场景和供应链去重共同校准；3000亿美元仅作交叉验证。2027E以后按Token与生产级渗透联动。金额为亿美元。</x:v>
      </x:c>
      <x:c r="C2" s="7" t="str">
        <x:v>2026E由实体收入、云AI、八类工作场景和供应链去重共同校准；3000亿美元仅作交叉验证。2027E以后按Token与生产级渗透联动。金额为亿美元。</x:v>
      </x:c>
      <x:c r="D2" s="7" t="str">
        <x:v>2026E由实体收入、云AI、八类工作场景和供应链去重共同校准；3000亿美元仅作交叉验证。2027E以后按Token与生产级渗透联动。金额为亿美元。</x:v>
      </x:c>
      <x:c r="E2" s="7" t="str">
        <x:v>2026E由实体收入、云AI、八类工作场景和供应链去重共同校准；3000亿美元仅作交叉验证。2027E以后按Token与生产级渗透联动。金额为亿美元。</x:v>
      </x:c>
      <x:c r="F2" s="7" t="str">
        <x:v>2026E由实体收入、云AI、八类工作场景和供应链去重共同校准；3000亿美元仅作交叉验证。2027E以后按Token与生产级渗透联动。金额为亿美元。</x:v>
      </x:c>
      <x:c r="G2" s="7" t="str">
        <x:v>2026E由实体收入、云AI、八类工作场景和供应链去重共同校准；3000亿美元仅作交叉验证。2027E以后按Token与生产级渗透联动。金额为亿美元。</x:v>
      </x:c>
      <x:c r="H2" s="7" t="str">
        <x:v>2026E由实体收入、云AI、八类工作场景和供应链去重共同校准；3000亿美元仅作交叉验证。2027E以后按Token与生产级渗透联动。金额为亿美元。</x:v>
      </x:c>
      <x:c r="I2" s="7" t="str">
        <x:v>2026E由实体收入、云AI、八类工作场景和供应链去重共同校准；3000亿美元仅作交叉验证。2027E以后按Token与生产级渗透联动。金额为亿美元。</x:v>
      </x:c>
      <x:c r="J2" s="7" t="str">
        <x:v>2026E由实体收入、云AI、八类工作场景和供应链去重共同校准；3000亿美元仅作交叉验证。2027E以后按Token与生产级渗透联动。金额为亿美元。</x:v>
      </x:c>
      <x:c r="K2" s="7" t="str">
        <x:v>2026E由实体收入、云AI、八类工作场景和供应链去重共同校准；3000亿美元仅作交叉验证。2027E以后按Token与生产级渗透联动。金额为亿美元。</x:v>
      </x:c>
      <x:c r="L2" s="7" t="str">
        <x:v>2026E由实体收入、云AI、八类工作场景和供应链去重共同校准；3000亿美元仅作交叉验证。2027E以后按Token与生产级渗透联动。金额为亿美元。</x:v>
      </x:c>
      <x:c r="M2" s="92"/>
      <x:c r="N2" s="92"/>
      <x:c r="O2" s="92"/>
      <x:c r="P2" s="92"/>
      <x:c r="Q2" s="92"/>
      <x:c r="R2" s="44"/>
      <x:c r="S2" s="44"/>
      <x:c r="T2" s="44"/>
      <x:c r="U2" s="44"/>
      <x:c r="V2" s="44"/>
      <x:c r="W2" s="44"/>
      <x:c r="X2" s="44"/>
      <x:c r="Y2" s="44"/>
      <x:c r="Z2" s="44"/>
      <x:c r="AA2" s="44"/>
      <x:c r="AB2" s="44"/>
      <x:c r="AC2" s="44"/>
      <x:c r="AD2" s="44"/>
      <x:c r="AE2" s="44"/>
      <x:c r="AF2" s="44"/>
      <x:c r="AG2" s="44"/>
      <x:c r="AH2" s="44"/>
      <x:c r="AI2" s="44"/>
      <x:c r="AJ2" s="44"/>
      <x:c r="AK2" s="44"/>
      <x:c r="AL2" s="44"/>
      <x:c r="AM2" s="44"/>
      <x:c r="AN2" s="44"/>
      <x:c r="AO2" s="44"/>
      <x:c r="AP2" s="44"/>
      <x:c r="AQ2" s="44"/>
      <x:c r="AR2" s="44"/>
      <x:c r="AS2" s="44"/>
      <x:c r="AT2" s="44"/>
      <x:c r="AU2" s="44"/>
      <x:c r="AV2" s="44"/>
      <x:c r="AW2" s="44"/>
      <x:c r="AX2" s="44"/>
      <x:c r="AY2" s="44"/>
      <x:c r="AZ2" s="44"/>
      <x:c r="BA2" s="44"/>
      <x:c r="BB2" s="44"/>
      <x:c r="BC2" s="44"/>
      <x:c r="BD2" s="44"/>
      <x:c r="BE2" s="44"/>
      <x:c r="BF2" s="44"/>
      <x:c r="BG2" s="44"/>
      <x:c r="BH2" s="44"/>
      <x:c r="BI2" s="44"/>
      <x:c r="BJ2" s="44"/>
      <x:c r="BK2" s="44"/>
      <x:c r="BL2" s="44"/>
      <x:c r="BM2" s="44"/>
      <x:c r="BN2" s="44"/>
      <x:c r="BO2" s="44"/>
      <x:c r="BP2" s="44"/>
      <x:c r="BQ2" s="44"/>
      <x:c r="BR2" s="44"/>
      <x:c r="BS2" s="44"/>
      <x:c r="BT2" s="44"/>
      <x:c r="BU2" s="44"/>
      <x:c r="BV2" s="44"/>
      <x:c r="BW2" s="44"/>
      <x:c r="BX2" s="44"/>
      <x:c r="BY2" s="44"/>
      <x:c r="BZ2" s="44"/>
      <x:c r="CA2" s="44"/>
      <x:c r="CB2" s="44"/>
      <x:c r="CC2" s="44"/>
      <x:c r="CD2" s="44"/>
      <x:c r="CE2" s="44"/>
      <x:c r="CF2" s="44"/>
      <x:c r="CG2" s="44"/>
      <x:c r="CH2" s="44"/>
      <x:c r="CI2" s="44"/>
    </x:row>
    <x:row r="3" ht="15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  <x:c r="K3" s="92"/>
      <x:c r="L3" s="92"/>
      <x:c r="M3" s="92"/>
      <x:c r="N3" s="92"/>
      <x:c r="O3" s="92"/>
      <x:c r="P3" s="92"/>
      <x:c r="Q3" s="92"/>
      <x:c r="R3" s="44"/>
      <x:c r="S3" s="44"/>
      <x:c r="T3" s="44"/>
      <x:c r="U3" s="44"/>
      <x:c r="V3" s="44"/>
      <x:c r="W3" s="44"/>
      <x:c r="X3" s="44"/>
      <x:c r="Y3" s="44"/>
      <x:c r="Z3" s="44"/>
      <x:c r="AA3" s="44"/>
      <x:c r="AB3" s="44"/>
      <x:c r="AC3" s="44"/>
      <x:c r="AD3" s="44"/>
      <x:c r="AE3" s="44"/>
      <x:c r="AF3" s="44"/>
      <x:c r="AG3" s="44"/>
      <x:c r="AH3" s="44"/>
      <x:c r="AI3" s="44"/>
      <x:c r="AJ3" s="44"/>
      <x:c r="AK3" s="44"/>
      <x:c r="AL3" s="44"/>
      <x:c r="AM3" s="44"/>
      <x:c r="AN3" s="44"/>
      <x:c r="AO3" s="44"/>
      <x:c r="AP3" s="44"/>
      <x:c r="AQ3" s="44"/>
      <x:c r="AR3" s="44"/>
      <x:c r="AS3" s="44"/>
      <x:c r="AT3" s="44"/>
      <x:c r="AU3" s="44"/>
      <x:c r="AV3" s="44"/>
      <x:c r="AW3" s="44"/>
      <x:c r="AX3" s="44"/>
      <x:c r="AY3" s="44"/>
      <x:c r="AZ3" s="44"/>
      <x:c r="BA3" s="44"/>
      <x:c r="BB3" s="44"/>
      <x:c r="BC3" s="44"/>
      <x:c r="BD3" s="44"/>
      <x:c r="BE3" s="44"/>
      <x:c r="BF3" s="44"/>
      <x:c r="BG3" s="44"/>
      <x:c r="BH3" s="44"/>
      <x:c r="BI3" s="44"/>
      <x:c r="BJ3" s="44"/>
      <x:c r="BK3" s="44"/>
      <x:c r="BL3" s="44"/>
      <x:c r="BM3" s="44"/>
      <x:c r="BN3" s="44"/>
      <x:c r="BO3" s="44"/>
      <x:c r="BP3" s="44"/>
      <x:c r="BQ3" s="44"/>
      <x:c r="BR3" s="44"/>
      <x:c r="BS3" s="44"/>
      <x:c r="BT3" s="44"/>
      <x:c r="BU3" s="44"/>
      <x:c r="BV3" s="44"/>
      <x:c r="BW3" s="44"/>
      <x:c r="BX3" s="44"/>
      <x:c r="BY3" s="44"/>
      <x:c r="BZ3" s="44"/>
      <x:c r="CA3" s="44"/>
      <x:c r="CB3" s="44"/>
      <x:c r="CC3" s="44"/>
      <x:c r="CD3" s="44"/>
      <x:c r="CE3" s="44"/>
      <x:c r="CF3" s="44"/>
      <x:c r="CG3" s="44"/>
      <x:c r="CH3" s="44"/>
      <x:c r="CI3" s="44"/>
    </x:row>
    <x:row r="4" ht="15" hidden="0" customHeight="1">
      <x:c r="A4" s="12" t="str">
        <x:v>分类</x:v>
      </x:c>
      <x:c r="B4" s="12" t="str">
        <x:v>2022A</x:v>
      </x:c>
      <x:c r="C4" s="12" t="str">
        <x:v>2023A</x:v>
      </x:c>
      <x:c r="D4" s="12" t="str">
        <x:v>2024A</x:v>
      </x:c>
      <x:c r="E4" s="12" t="str">
        <x:v>2025A</x:v>
      </x:c>
      <x:c r="F4" s="12" t="str">
        <x:v>2026E</x:v>
      </x:c>
      <x:c r="G4" s="12" t="str">
        <x:v>2027E</x:v>
      </x:c>
      <x:c r="H4" s="12" t="str">
        <x:v>2028E</x:v>
      </x:c>
      <x:c r="I4" s="12" t="str">
        <x:v>2029E</x:v>
      </x:c>
      <x:c r="J4" s="12" t="str">
        <x:v>2030E</x:v>
      </x:c>
      <x:c r="K4" s="12" t="str">
        <x:v>Token权重</x:v>
      </x:c>
      <x:c r="L4" s="12" t="str">
        <x:v>工作流权重</x:v>
      </x:c>
      <x:c r="M4" s="92"/>
      <x:c r="N4" s="95" t="str">
        <x:v>年份</x:v>
      </x:c>
      <x:c r="O4" s="95" t="str">
        <x:v>生态系统总收入</x:v>
      </x:c>
      <x:c r="P4" s="95" t="str">
        <x:v>AI应用终端收入</x:v>
      </x:c>
      <x:c r="Q4" s="95" t="str">
        <x:v>AI应用毛利</x:v>
      </x:c>
      <x:c r="R4" s="44" t="str">
        <x:v>2026E类别终端率</x:v>
      </x:c>
      <x:c r="S4" s="44" t="str">
        <x:v>分配权重</x:v>
      </x:c>
      <x:c r="T4" s="44" t="str">
        <x:v>R1活跃</x:v>
      </x:c>
      <x:c r="U4" s="44" t="str">
        <x:v>R1累计</x:v>
      </x:c>
      <x:c r="V4" s="44" t="str">
        <x:v>R2活跃</x:v>
      </x:c>
      <x:c r="W4" s="44" t="str">
        <x:v>R2累计</x:v>
      </x:c>
      <x:c r="X4" s="44" t="str">
        <x:v>R3活跃</x:v>
      </x:c>
      <x:c r="Y4" s="44" t="str">
        <x:v>R3累计</x:v>
      </x:c>
      <x:c r="Z4" s="44" t="str">
        <x:v>R4活跃</x:v>
      </x:c>
      <x:c r="AA4" s="44" t="str">
        <x:v>R4累计</x:v>
      </x:c>
      <x:c r="AB4" s="44" t="str">
        <x:v>R5活跃</x:v>
      </x:c>
      <x:c r="AC4" s="44" t="str">
        <x:v>R5累计</x:v>
      </x:c>
      <x:c r="AD4" s="44" t="str">
        <x:v>R6活跃</x:v>
      </x:c>
      <x:c r="AE4" s="44" t="str">
        <x:v>R6累计</x:v>
      </x:c>
      <x:c r="AF4" s="44" t="str">
        <x:v>2027E类别终端率</x:v>
      </x:c>
      <x:c r="AG4" s="44" t="str">
        <x:v>分配权重</x:v>
      </x:c>
      <x:c r="AH4" s="44" t="str">
        <x:v>R1活跃</x:v>
      </x:c>
      <x:c r="AI4" s="44" t="str">
        <x:v>R1累计</x:v>
      </x:c>
      <x:c r="AJ4" s="44" t="str">
        <x:v>R2活跃</x:v>
      </x:c>
      <x:c r="AK4" s="44" t="str">
        <x:v>R2累计</x:v>
      </x:c>
      <x:c r="AL4" s="44" t="str">
        <x:v>R3活跃</x:v>
      </x:c>
      <x:c r="AM4" s="44" t="str">
        <x:v>R3累计</x:v>
      </x:c>
      <x:c r="AN4" s="44" t="str">
        <x:v>R4活跃</x:v>
      </x:c>
      <x:c r="AO4" s="44" t="str">
        <x:v>R4累计</x:v>
      </x:c>
      <x:c r="AP4" s="44" t="str">
        <x:v>R5活跃</x:v>
      </x:c>
      <x:c r="AQ4" s="44" t="str">
        <x:v>R5累计</x:v>
      </x:c>
      <x:c r="AR4" s="44" t="str">
        <x:v>R6活跃</x:v>
      </x:c>
      <x:c r="AS4" s="44" t="str">
        <x:v>R6累计</x:v>
      </x:c>
      <x:c r="AT4" s="44" t="str">
        <x:v>2028E类别终端率</x:v>
      </x:c>
      <x:c r="AU4" s="44" t="str">
        <x:v>分配权重</x:v>
      </x:c>
      <x:c r="AV4" s="44" t="str">
        <x:v>R1活跃</x:v>
      </x:c>
      <x:c r="AW4" s="44" t="str">
        <x:v>R1累计</x:v>
      </x:c>
      <x:c r="AX4" s="44" t="str">
        <x:v>R2活跃</x:v>
      </x:c>
      <x:c r="AY4" s="44" t="str">
        <x:v>R2累计</x:v>
      </x:c>
      <x:c r="AZ4" s="44" t="str">
        <x:v>R3活跃</x:v>
      </x:c>
      <x:c r="BA4" s="44" t="str">
        <x:v>R3累计</x:v>
      </x:c>
      <x:c r="BB4" s="44" t="str">
        <x:v>R4活跃</x:v>
      </x:c>
      <x:c r="BC4" s="44" t="str">
        <x:v>R4累计</x:v>
      </x:c>
      <x:c r="BD4" s="44" t="str">
        <x:v>R5活跃</x:v>
      </x:c>
      <x:c r="BE4" s="44" t="str">
        <x:v>R5累计</x:v>
      </x:c>
      <x:c r="BF4" s="44" t="str">
        <x:v>R6活跃</x:v>
      </x:c>
      <x:c r="BG4" s="44" t="str">
        <x:v>R6累计</x:v>
      </x:c>
      <x:c r="BH4" s="44" t="str">
        <x:v>2029E类别终端率</x:v>
      </x:c>
      <x:c r="BI4" s="44" t="str">
        <x:v>分配权重</x:v>
      </x:c>
      <x:c r="BJ4" s="44" t="str">
        <x:v>R1活跃</x:v>
      </x:c>
      <x:c r="BK4" s="44" t="str">
        <x:v>R1累计</x:v>
      </x:c>
      <x:c r="BL4" s="44" t="str">
        <x:v>R2活跃</x:v>
      </x:c>
      <x:c r="BM4" s="44" t="str">
        <x:v>R2累计</x:v>
      </x:c>
      <x:c r="BN4" s="44" t="str">
        <x:v>R3活跃</x:v>
      </x:c>
      <x:c r="BO4" s="44" t="str">
        <x:v>R3累计</x:v>
      </x:c>
      <x:c r="BP4" s="44" t="str">
        <x:v>R4活跃</x:v>
      </x:c>
      <x:c r="BQ4" s="44" t="str">
        <x:v>R4累计</x:v>
      </x:c>
      <x:c r="BR4" s="44" t="str">
        <x:v>R5活跃</x:v>
      </x:c>
      <x:c r="BS4" s="44" t="str">
        <x:v>R5累计</x:v>
      </x:c>
      <x:c r="BT4" s="44" t="str">
        <x:v>R6活跃</x:v>
      </x:c>
      <x:c r="BU4" s="44" t="str">
        <x:v>R6累计</x:v>
      </x:c>
      <x:c r="BV4" s="44" t="str">
        <x:v>2030E类别终端率</x:v>
      </x:c>
      <x:c r="BW4" s="44" t="str">
        <x:v>分配权重</x:v>
      </x:c>
      <x:c r="BX4" s="44" t="str">
        <x:v>R1活跃</x:v>
      </x:c>
      <x:c r="BY4" s="44" t="str">
        <x:v>R1累计</x:v>
      </x:c>
      <x:c r="BZ4" s="44" t="str">
        <x:v>R2活跃</x:v>
      </x:c>
      <x:c r="CA4" s="44" t="str">
        <x:v>R2累计</x:v>
      </x:c>
      <x:c r="CB4" s="44" t="str">
        <x:v>R3活跃</x:v>
      </x:c>
      <x:c r="CC4" s="44" t="str">
        <x:v>R3累计</x:v>
      </x:c>
      <x:c r="CD4" s="44" t="str">
        <x:v>R4活跃</x:v>
      </x:c>
      <x:c r="CE4" s="44" t="str">
        <x:v>R4累计</x:v>
      </x:c>
      <x:c r="CF4" s="44" t="str">
        <x:v>R5活跃</x:v>
      </x:c>
      <x:c r="CG4" s="44" t="str">
        <x:v>R5累计</x:v>
      </x:c>
      <x:c r="CH4" s="44" t="str">
        <x:v>R6活跃</x:v>
      </x:c>
      <x:c r="CI4" s="44" t="str">
        <x:v>R6累计</x:v>
      </x:c>
    </x:row>
    <x:row r="5" ht="15" hidden="0" customHeight="1">
      <x:c r="A5" s="16" t="str">
        <x:v>模型与API收入</x:v>
      </x:c>
      <x:c r="B5" s="40" t="n">
        <x:f>B24</x:f>
        <x:v>10</x:v>
      </x:c>
      <x:c r="C5" s="40" t="n">
        <x:f>C24</x:f>
        <x:v>20</x:v>
      </x:c>
      <x:c r="D5" s="40" t="n">
        <x:f>D24</x:f>
        <x:v>150</x:v>
      </x:c>
      <x:c r="E5" s="40" t="n">
        <x:f>E24</x:f>
        <x:v>550</x:v>
      </x:c>
      <x:c r="F5" s="40" t="n">
        <x:f>F24+MAX(0,'Token量价利'!B$14-(F24)-(F26))*(F24)/MAX(0.01,(F24)+(F26))</x:f>
        <x:v>954.8705694115602</x:v>
      </x:c>
      <x:c r="G5" s="40" t="n">
        <x:f>G24*'Token量价利'!C$18^$K5*('工作流ROI'!$C$28/0.2695)^$L5+MAX(0,'Token量价利'!C$14-(G24*'Token量价利'!C$18^$K5*('工作流ROI'!$C$28/0.2695)^$L5)-(G26*'Token量价利'!C$18^$K7*('工作流ROI'!$C$28/0.2695)^$L7))*(G24*'Token量价利'!C$18^$K5*('工作流ROI'!$C$28/0.2695)^$L5)/MAX(0.01,(G24*'Token量价利'!C$18^$K5*('工作流ROI'!$C$28/0.2695)^$L5)+(G26*'Token量价利'!C$18^$K7*('工作流ROI'!$C$28/0.2695)^$L7))</x:f>
        <x:v>1865.0609112409145</x:v>
      </x:c>
      <x:c r="H5" s="40" t="n">
        <x:f>H24*'Token量价利'!D$18^$K5*('工作流ROI'!$C$29/0.3699)^$L5+MAX(0,'Token量价利'!D$14-(H24*'Token量价利'!D$18^$K5*('工作流ROI'!$C$29/0.3699)^$L5)-(H26*'Token量价利'!D$18^$K7*('工作流ROI'!$C$29/0.3699)^$L7))*(H24*'Token量价利'!D$18^$K5*('工作流ROI'!$C$29/0.3699)^$L5)/MAX(0.01,(H24*'Token量价利'!D$18^$K5*('工作流ROI'!$C$29/0.3699)^$L5)+(H26*'Token量价利'!D$18^$K7*('工作流ROI'!$C$29/0.3699)^$L7))</x:f>
        <x:v>3052.4216051703847</x:v>
      </x:c>
      <x:c r="I5" s="40" t="n">
        <x:f>I24*'Token量价利'!E$18^$K5*('工作流ROI'!$C$30/0.4656)^$L5+MAX(0,'Token量价利'!E$14-(I24*'Token量价利'!E$18^$K5*('工作流ROI'!$C$30/0.4656)^$L5)-(I26*'Token量价利'!E$18^$K7*('工作流ROI'!$C$30/0.4656)^$L7))*(I24*'Token量价利'!E$18^$K5*('工作流ROI'!$C$30/0.4656)^$L5)/MAX(0.01,(I24*'Token量价利'!E$18^$K5*('工作流ROI'!$C$30/0.4656)^$L5)+(I26*'Token量价利'!E$18^$K7*('工作流ROI'!$C$30/0.4656)^$L7))</x:f>
        <x:v>4554.972675407251</x:v>
      </x:c>
      <x:c r="J5" s="40" t="n">
        <x:f>J24*'Token量价利'!F$18^$K5*('工作流ROI'!$C$31/0.55)^$L5+MAX(0,'Token量价利'!F$14-(J24*'Token量价利'!F$18^$K5*('工作流ROI'!$C$31/0.55)^$L5)-(J26*'Token量价利'!F$18^$K7*('工作流ROI'!$C$31/0.55)^$L7))*(J24*'Token量价利'!F$18^$K5*('工作流ROI'!$C$31/0.55)^$L5)/MAX(0.01,(J24*'Token量价利'!F$18^$K5*('工作流ROI'!$C$31/0.55)^$L5)+(J26*'Token量价利'!F$18^$K7*('工作流ROI'!$C$31/0.55)^$L7))</x:f>
        <x:v>6524.434440072114</x:v>
      </x:c>
      <x:c r="K5" s="68" t="n">
        <x:v>0.85</x:v>
      </x:c>
      <x:c r="L5" s="68" t="n">
        <x:v>0.15000000000000002</x:v>
      </x:c>
      <x:c r="M5" s="92"/>
      <x:c r="N5" s="95" t="n">
        <x:v>2022</x:v>
      </x:c>
      <x:c r="O5" s="95" t="n">
        <x:f>B11</x:f>
        <x:v>150</x:v>
      </x:c>
      <x:c r="P5" s="95" t="n">
        <x:f>B13</x:f>
        <x:v>67.5</x:v>
      </x:c>
      <x:c r="Q5" s="95" t="n">
        <x:f>B15</x:f>
        <x:v>29.025000000000002</x:v>
      </x:c>
      <x:c r="R5" s="44" t="n">
        <x:f>MAX(0.2,MIN(0.99,'口径映射'!$B$40+F$12-$F$31))</x:f>
        <x:v>0.8877551020408163</x:v>
      </x:c>
      <x:c r="S5" s="44" t="n">
        <x:f>F5*R5</x:f>
        <x:v>847.691219783732</x:v>
      </x:c>
      <x:c r="T5" s="44" t="n">
        <x:f>IF(F5-0&gt;0.000001,1,0)</x:f>
        <x:v>1</x:v>
      </x:c>
      <x:c r="U5" s="44" t="n">
        <x:f>0+IF(T5=1,MIN(F5,R$12*S5/MAX(0.000001,SUMPRODUCT(S$5:S$10,T$5:T$10))),0)</x:f>
        <x:v>846.2440064601701</x:v>
      </x:c>
      <x:c r="V5" s="44" t="n">
        <x:f>IF(F5-U5&gt;0.000001,1,0)</x:f>
        <x:v>1</x:v>
      </x:c>
      <x:c r="W5" s="44" t="n">
        <x:f>U5+IF(V5=1,MIN(MAX(0,F5-U5),MAX(0,R$12-SUM(U$5:U$10))*S5/MAX(0.000001,SUMPRODUCT(S$5:S$10,V$5:V$10))),0)</x:f>
        <x:v>846.2440064601701</x:v>
      </x:c>
      <x:c r="X5" s="44" t="n">
        <x:f>IF(F5-W5&gt;0.000001,1,0)</x:f>
        <x:v>1</x:v>
      </x:c>
      <x:c r="Y5" s="44" t="n">
        <x:f>W5+IF(X5=1,MIN(MAX(0,F5-W5),MAX(0,R$12-SUM(W$5:W$10))*S5/MAX(0.000001,SUMPRODUCT(S$5:S$10,X$5:X$10))),0)</x:f>
        <x:v>846.2440064601701</x:v>
      </x:c>
      <x:c r="Z5" s="44" t="n">
        <x:f>IF(F5-Y5&gt;0.000001,1,0)</x:f>
        <x:v>1</x:v>
      </x:c>
      <x:c r="AA5" s="44" t="n">
        <x:f>Y5+IF(Z5=1,MIN(MAX(0,F5-Y5),MAX(0,R$12-SUM(Y$5:Y$10))*S5/MAX(0.000001,SUMPRODUCT(S$5:S$10,Z$5:Z$10))),0)</x:f>
        <x:v>846.2440064601701</x:v>
      </x:c>
      <x:c r="AB5" s="44" t="n">
        <x:f>IF(F5-AA5&gt;0.000001,1,0)</x:f>
        <x:v>1</x:v>
      </x:c>
      <x:c r="AC5" s="44" t="n">
        <x:f>AA5+IF(AB5=1,MIN(MAX(0,F5-AA5),MAX(0,R$12-SUM(AA$5:AA$10))*S5/MAX(0.000001,SUMPRODUCT(S$5:S$10,AB$5:AB$10))),0)</x:f>
        <x:v>846.2440064601701</x:v>
      </x:c>
      <x:c r="AD5" s="44" t="n">
        <x:f>IF(F5-AC5&gt;0.000001,1,0)</x:f>
        <x:v>1</x:v>
      </x:c>
      <x:c r="AE5" s="44" t="n">
        <x:f>AC5+IF(AD5=1,MIN(MAX(0,F5-AC5),MAX(0,R$12-SUM(AC$5:AC$10))*S5/MAX(0.000001,SUMPRODUCT(S$5:S$10,AD$5:AD$10))),0)</x:f>
        <x:v>846.2440064601701</x:v>
      </x:c>
      <x:c r="AF5" s="44" t="n">
        <x:f>MAX(0.2,MIN(0.99,'口径映射'!$B$40+G$12-$F$31))</x:f>
        <x:v>0.9077551020408163</x:v>
      </x:c>
      <x:c r="AG5" s="44" t="n">
        <x:f>G5*AF5</x:f>
        <x:v>1693.018557795834</x:v>
      </x:c>
      <x:c r="AH5" s="44" t="n">
        <x:f>IF(G5-0&gt;0.000001,1,0)</x:f>
        <x:v>1</x:v>
      </x:c>
      <x:c r="AI5" s="44" t="n">
        <x:f>0+IF(AH5=1,MIN(G5,AF$12*AG5/MAX(0.000001,SUMPRODUCT(AG$5:AG$10,AH$5:AH$10))),0)</x:f>
        <x:v>1682.9895421830138</x:v>
      </x:c>
      <x:c r="AJ5" s="44" t="n">
        <x:f>IF(G5-AI5&gt;0.000001,1,0)</x:f>
        <x:v>1</x:v>
      </x:c>
      <x:c r="AK5" s="44" t="n">
        <x:f>AI5+IF(AJ5=1,MIN(MAX(0,G5-AI5),MAX(0,AF$12-SUM(AI$5:AI$10))*AG5/MAX(0.000001,SUMPRODUCT(AG$5:AG$10,AJ$5:AJ$10))),0)</x:f>
        <x:v>1682.9895421830138</x:v>
      </x:c>
      <x:c r="AL5" s="44" t="n">
        <x:f>IF(G5-AK5&gt;0.000001,1,0)</x:f>
        <x:v>1</x:v>
      </x:c>
      <x:c r="AM5" s="44" t="n">
        <x:f>AK5+IF(AL5=1,MIN(MAX(0,G5-AK5),MAX(0,AF$12-SUM(AK$5:AK$10))*AG5/MAX(0.000001,SUMPRODUCT(AG$5:AG$10,AL$5:AL$10))),0)</x:f>
        <x:v>1682.9895421830138</x:v>
      </x:c>
      <x:c r="AN5" s="44" t="n">
        <x:f>IF(G5-AM5&gt;0.000001,1,0)</x:f>
        <x:v>1</x:v>
      </x:c>
      <x:c r="AO5" s="44" t="n">
        <x:f>AM5+IF(AN5=1,MIN(MAX(0,G5-AM5),MAX(0,AF$12-SUM(AM$5:AM$10))*AG5/MAX(0.000001,SUMPRODUCT(AG$5:AG$10,AN$5:AN$10))),0)</x:f>
        <x:v>1682.9895421830138</x:v>
      </x:c>
      <x:c r="AP5" s="44" t="n">
        <x:f>IF(G5-AO5&gt;0.000001,1,0)</x:f>
        <x:v>1</x:v>
      </x:c>
      <x:c r="AQ5" s="44" t="n">
        <x:f>AO5+IF(AP5=1,MIN(MAX(0,G5-AO5),MAX(0,AF$12-SUM(AO$5:AO$10))*AG5/MAX(0.000001,SUMPRODUCT(AG$5:AG$10,AP$5:AP$10))),0)</x:f>
        <x:v>1682.9895421830138</x:v>
      </x:c>
      <x:c r="AR5" s="44" t="n">
        <x:f>IF(G5-AQ5&gt;0.000001,1,0)</x:f>
        <x:v>1</x:v>
      </x:c>
      <x:c r="AS5" s="44" t="n">
        <x:f>AQ5+IF(AR5=1,MIN(MAX(0,G5-AQ5),MAX(0,AF$12-SUM(AQ$5:AQ$10))*AG5/MAX(0.000001,SUMPRODUCT(AG$5:AG$10,AR$5:AR$10))),0)</x:f>
        <x:v>1682.9895421830138</x:v>
      </x:c>
      <x:c r="AT5" s="44" t="n">
        <x:f>MAX(0.2,MIN(0.99,'口径映射'!$B$40+H$12-$F$31))</x:f>
        <x:v>0.9277551020408163</x:v>
      </x:c>
      <x:c r="AU5" s="44" t="n">
        <x:f>H5*AT5</x:f>
        <x:v>2831.8997177764427</x:v>
      </x:c>
      <x:c r="AV5" s="44" t="n">
        <x:f>IF(H5-0&gt;0.000001,1,0)</x:f>
        <x:v>1</x:v>
      </x:c>
      <x:c r="AW5" s="44" t="n">
        <x:f>0+IF(AV5=1,MIN(H5,AT$12*AU5/MAX(0.000001,SUMPRODUCT(AU$5:AU$10,AV$5:AV$10))),0)</x:f>
        <x:v>2811.5302246552164</x:v>
      </x:c>
      <x:c r="AX5" s="44" t="n">
        <x:f>IF(H5-AW5&gt;0.000001,1,0)</x:f>
        <x:v>1</x:v>
      </x:c>
      <x:c r="AY5" s="44" t="n">
        <x:f>AW5+IF(AX5=1,MIN(MAX(0,H5-AW5),MAX(0,AT$12-SUM(AW$5:AW$10))*AU5/MAX(0.000001,SUMPRODUCT(AU$5:AU$10,AX$5:AX$10))),0)</x:f>
        <x:v>2811.530224655217</x:v>
      </x:c>
      <x:c r="AZ5" s="44" t="n">
        <x:f>IF(H5-AY5&gt;0.000001,1,0)</x:f>
        <x:v>1</x:v>
      </x:c>
      <x:c r="BA5" s="44" t="n">
        <x:f>AY5+IF(AZ5=1,MIN(MAX(0,H5-AY5),MAX(0,AT$12-SUM(AY$5:AY$10))*AU5/MAX(0.000001,SUMPRODUCT(AU$5:AU$10,AZ$5:AZ$10))),0)</x:f>
        <x:v>2811.530224655217</x:v>
      </x:c>
      <x:c r="BB5" s="44" t="n">
        <x:f>IF(H5-BA5&gt;0.000001,1,0)</x:f>
        <x:v>1</x:v>
      </x:c>
      <x:c r="BC5" s="44" t="n">
        <x:f>BA5+IF(BB5=1,MIN(MAX(0,H5-BA5),MAX(0,AT$12-SUM(BA$5:BA$10))*AU5/MAX(0.000001,SUMPRODUCT(AU$5:AU$10,BB$5:BB$10))),0)</x:f>
        <x:v>2811.530224655217</x:v>
      </x:c>
      <x:c r="BD5" s="44" t="n">
        <x:f>IF(H5-BC5&gt;0.000001,1,0)</x:f>
        <x:v>1</x:v>
      </x:c>
      <x:c r="BE5" s="44" t="n">
        <x:f>BC5+IF(BD5=1,MIN(MAX(0,H5-BC5),MAX(0,AT$12-SUM(BC$5:BC$10))*AU5/MAX(0.000001,SUMPRODUCT(AU$5:AU$10,BD$5:BD$10))),0)</x:f>
        <x:v>2811.530224655217</x:v>
      </x:c>
      <x:c r="BF5" s="44" t="n">
        <x:f>IF(H5-BE5&gt;0.000001,1,0)</x:f>
        <x:v>1</x:v>
      </x:c>
      <x:c r="BG5" s="44" t="n">
        <x:f>BE5+IF(BF5=1,MIN(MAX(0,H5-BE5),MAX(0,AT$12-SUM(BE$5:BE$10))*AU5/MAX(0.000001,SUMPRODUCT(AU$5:AU$10,BF$5:BF$10))),0)</x:f>
        <x:v>2811.530224655217</x:v>
      </x:c>
      <x:c r="BH5" s="44" t="n">
        <x:f>MAX(0.2,MIN(0.99,'口径映射'!$B$40+I$12-$F$31))</x:f>
        <x:v>0.9477551020408164</x:v>
      </x:c>
      <x:c r="BI5" s="44" t="n">
        <x:f>I5*BH5</x:f>
        <x:v>4316.998592773729</x:v>
      </x:c>
      <x:c r="BJ5" s="44" t="n">
        <x:f>IF(I5-0&gt;0.000001,1,0)</x:f>
        <x:v>1</x:v>
      </x:c>
      <x:c r="BK5" s="44" t="n">
        <x:f>0+IF(BJ5=1,MIN(I5,BH$12*BI5/MAX(0.000001,SUMPRODUCT(BI$5:BI$10,BJ$5:BJ$10))),0)</x:f>
        <x:v>4302.31841214933</x:v>
      </x:c>
      <x:c r="BL5" s="44" t="n">
        <x:f>IF(I5-BK5&gt;0.000001,1,0)</x:f>
        <x:v>1</x:v>
      </x:c>
      <x:c r="BM5" s="44" t="n">
        <x:f>BK5+IF(BL5=1,MIN(MAX(0,I5-BK5),MAX(0,BH$12-SUM(BK$5:BK$10))*BI5/MAX(0.000001,SUMPRODUCT(BI$5:BI$10,BL$5:BL$10))),0)</x:f>
        <x:v>4302.31841214933</x:v>
      </x:c>
      <x:c r="BN5" s="44" t="n">
        <x:f>IF(I5-BM5&gt;0.000001,1,0)</x:f>
        <x:v>1</x:v>
      </x:c>
      <x:c r="BO5" s="44" t="n">
        <x:f>BM5+IF(BN5=1,MIN(MAX(0,I5-BM5),MAX(0,BH$12-SUM(BM$5:BM$10))*BI5/MAX(0.000001,SUMPRODUCT(BI$5:BI$10,BN$5:BN$10))),0)</x:f>
        <x:v>4302.31841214933</x:v>
      </x:c>
      <x:c r="BP5" s="44" t="n">
        <x:f>IF(I5-BO5&gt;0.000001,1,0)</x:f>
        <x:v>1</x:v>
      </x:c>
      <x:c r="BQ5" s="44" t="n">
        <x:f>BO5+IF(BP5=1,MIN(MAX(0,I5-BO5),MAX(0,BH$12-SUM(BO$5:BO$10))*BI5/MAX(0.000001,SUMPRODUCT(BI$5:BI$10,BP$5:BP$10))),0)</x:f>
        <x:v>4302.31841214933</x:v>
      </x:c>
      <x:c r="BR5" s="44" t="n">
        <x:f>IF(I5-BQ5&gt;0.000001,1,0)</x:f>
        <x:v>1</x:v>
      </x:c>
      <x:c r="BS5" s="44" t="n">
        <x:f>BQ5+IF(BR5=1,MIN(MAX(0,I5-BQ5),MAX(0,BH$12-SUM(BQ$5:BQ$10))*BI5/MAX(0.000001,SUMPRODUCT(BI$5:BI$10,BR$5:BR$10))),0)</x:f>
        <x:v>4302.31841214933</x:v>
      </x:c>
      <x:c r="BT5" s="44" t="n">
        <x:f>IF(I5-BS5&gt;0.000001,1,0)</x:f>
        <x:v>1</x:v>
      </x:c>
      <x:c r="BU5" s="44" t="n">
        <x:f>BS5+IF(BT5=1,MIN(MAX(0,I5-BS5),MAX(0,BH$12-SUM(BS$5:BS$10))*BI5/MAX(0.000001,SUMPRODUCT(BI$5:BI$10,BT$5:BT$10))),0)</x:f>
        <x:v>4302.31841214933</x:v>
      </x:c>
      <x:c r="BV5" s="44" t="n">
        <x:f>MAX(0.2,MIN(0.99,'口径映射'!$B$40+J$12-$F$31))</x:f>
        <x:v>0.9677551020408164</x:v>
      </x:c>
      <x:c r="BW5" s="44" t="n">
        <x:f>J5*BV5</x:f>
        <x:v>6314.054717310605</x:v>
      </x:c>
      <x:c r="BX5" s="44" t="n">
        <x:f>IF(J5-0&gt;0.000001,1,0)</x:f>
        <x:v>1</x:v>
      </x:c>
      <x:c r="BY5" s="44" t="n">
        <x:f>0+IF(BX5=1,MIN(J5,BV$12*BW5/MAX(0.000001,SUMPRODUCT(BW$5:BW$10,BX$5:BX$10))),0)</x:f>
        <x:v>6326.615316850779</x:v>
      </x:c>
      <x:c r="BZ5" s="44" t="n">
        <x:f>IF(J5-BY5&gt;0.000001,1,0)</x:f>
        <x:v>1</x:v>
      </x:c>
      <x:c r="CA5" s="44" t="n">
        <x:f>BY5+IF(BZ5=1,MIN(MAX(0,J5-BY5),MAX(0,BV$12-SUM(BY$5:BY$10))*BW5/MAX(0.000001,SUMPRODUCT(BW$5:BW$10,BZ$5:BZ$10))),0)</x:f>
        <x:v>6326.61531685078</x:v>
      </x:c>
      <x:c r="CB5" s="44" t="n">
        <x:f>IF(J5-CA5&gt;0.000001,1,0)</x:f>
        <x:v>1</x:v>
      </x:c>
      <x:c r="CC5" s="44" t="n">
        <x:f>CA5+IF(CB5=1,MIN(MAX(0,J5-CA5),MAX(0,BV$12-SUM(CA$5:CA$10))*BW5/MAX(0.000001,SUMPRODUCT(BW$5:BW$10,CB$5:CB$10))),0)</x:f>
        <x:v>6326.61531685078</x:v>
      </x:c>
      <x:c r="CD5" s="44" t="n">
        <x:f>IF(J5-CC5&gt;0.000001,1,0)</x:f>
        <x:v>1</x:v>
      </x:c>
      <x:c r="CE5" s="44" t="n">
        <x:f>CC5+IF(CD5=1,MIN(MAX(0,J5-CC5),MAX(0,BV$12-SUM(CC$5:CC$10))*BW5/MAX(0.000001,SUMPRODUCT(BW$5:BW$10,CD$5:CD$10))),0)</x:f>
        <x:v>6326.61531685078</x:v>
      </x:c>
      <x:c r="CF5" s="44" t="n">
        <x:f>IF(J5-CE5&gt;0.000001,1,0)</x:f>
        <x:v>1</x:v>
      </x:c>
      <x:c r="CG5" s="44" t="n">
        <x:f>CE5+IF(CF5=1,MIN(MAX(0,J5-CE5),MAX(0,BV$12-SUM(CE$5:CE$10))*BW5/MAX(0.000001,SUMPRODUCT(BW$5:BW$10,CF$5:CF$10))),0)</x:f>
        <x:v>6326.61531685078</x:v>
      </x:c>
      <x:c r="CH5" s="44" t="n">
        <x:f>IF(J5-CG5&gt;0.000001,1,0)</x:f>
        <x:v>1</x:v>
      </x:c>
      <x:c r="CI5" s="44" t="n">
        <x:f>CG5+IF(CH5=1,MIN(MAX(0,J5-CG5),MAX(0,BV$12-SUM(CG$5:CG$10))*BW5/MAX(0.000001,SUMPRODUCT(BW$5:BW$10,CH$5:CH$10))),0)</x:f>
        <x:v>6326.61531685078</x:v>
      </x:c>
    </x:row>
    <x:row r="6" ht="15" hidden="0" customHeight="1">
      <x:c r="A6" s="16" t="str">
        <x:v>AI原生应用收入</x:v>
      </x:c>
      <x:c r="B6" s="40" t="n">
        <x:f>B25</x:f>
        <x:v>10</x:v>
      </x:c>
      <x:c r="C6" s="40" t="n">
        <x:f>C25</x:f>
        <x:v>30</x:v>
      </x:c>
      <x:c r="D6" s="40" t="n">
        <x:f>D25</x:f>
        <x:v>80</x:v>
      </x:c>
      <x:c r="E6" s="40" t="n">
        <x:f>E25</x:f>
        <x:v>200</x:v>
      </x:c>
      <x:c r="F6" s="40" t="n">
        <x:f>F25</x:f>
        <x:v>360</x:v>
      </x:c>
      <x:c r="G6" s="40" t="n">
        <x:f>G25*'Token量价利'!C$18^$K6*('工作流ROI'!$C$28/0.2695)^$L6</x:f>
        <x:v>1150</x:v>
      </x:c>
      <x:c r="H6" s="40" t="n">
        <x:f>H25*'Token量价利'!D$18^$K6*('工作流ROI'!$C$29/0.3699)^$L6</x:f>
        <x:v>2800</x:v>
      </x:c>
      <x:c r="I6" s="40" t="n">
        <x:f>I25*'Token量价利'!E$18^$K6*('工作流ROI'!$C$30/0.4656)^$L6</x:f>
        <x:v>5350</x:v>
      </x:c>
      <x:c r="J6" s="40" t="n">
        <x:f>J25*'Token量价利'!F$18^$K6*('工作流ROI'!$C$31/0.55)^$L6</x:f>
        <x:v>9000</x:v>
      </x:c>
      <x:c r="K6" s="68" t="n">
        <x:v>0.25</x:v>
      </x:c>
      <x:c r="L6" s="68" t="n">
        <x:v>0.75</x:v>
      </x:c>
      <x:c r="M6" s="92"/>
      <x:c r="N6" s="95" t="n">
        <x:v>2023</x:v>
      </x:c>
      <x:c r="O6" s="95" t="n">
        <x:f>C11</x:f>
        <x:v>350</x:v>
      </x:c>
      <x:c r="P6" s="95" t="n">
        <x:f>C13</x:f>
        <x:v>175</x:v>
      </x:c>
      <x:c r="Q6" s="95" t="n">
        <x:f>C15</x:f>
        <x:v>76.99999999999999</x:v>
      </x:c>
      <x:c r="R6" s="44" t="n">
        <x:f>MAX(0.2,MIN(0.99,'口径映射'!$B$41+F$12-$F$31))</x:f>
        <x:v>0.9444444444444444</x:v>
      </x:c>
      <x:c r="S6" s="44" t="n">
        <x:f>F6*R6</x:f>
        <x:v>340</x:v>
      </x:c>
      <x:c r="T6" s="44" t="n">
        <x:f>IF(F6-0&gt;0.000001,1,0)</x:f>
        <x:v>1</x:v>
      </x:c>
      <x:c r="U6" s="44" t="n">
        <x:f>0+IF(T6=1,MIN(F6,R$12*S6/MAX(0.000001,SUMPRODUCT(S$5:S$10,T$5:T$10))),0)</x:f>
        <x:v>339.41953801274883</x:v>
      </x:c>
      <x:c r="V6" s="44" t="n">
        <x:f>IF(F6-U6&gt;0.000001,1,0)</x:f>
        <x:v>1</x:v>
      </x:c>
      <x:c r="W6" s="44" t="n">
        <x:f>U6+IF(V6=1,MIN(MAX(0,F6-U6),MAX(0,R$12-SUM(U$5:U$10))*S6/MAX(0.000001,SUMPRODUCT(S$5:S$10,V$5:V$10))),0)</x:f>
        <x:v>339.41953801274883</x:v>
      </x:c>
      <x:c r="X6" s="44" t="n">
        <x:f>IF(F6-W6&gt;0.000001,1,0)</x:f>
        <x:v>1</x:v>
      </x:c>
      <x:c r="Y6" s="44" t="n">
        <x:f>W6+IF(X6=1,MIN(MAX(0,F6-W6),MAX(0,R$12-SUM(W$5:W$10))*S6/MAX(0.000001,SUMPRODUCT(S$5:S$10,X$5:X$10))),0)</x:f>
        <x:v>339.41953801274883</x:v>
      </x:c>
      <x:c r="Z6" s="44" t="n">
        <x:f>IF(F6-Y6&gt;0.000001,1,0)</x:f>
        <x:v>1</x:v>
      </x:c>
      <x:c r="AA6" s="44" t="n">
        <x:f>Y6+IF(Z6=1,MIN(MAX(0,F6-Y6),MAX(0,R$12-SUM(Y$5:Y$10))*S6/MAX(0.000001,SUMPRODUCT(S$5:S$10,Z$5:Z$10))),0)</x:f>
        <x:v>339.41953801274883</x:v>
      </x:c>
      <x:c r="AB6" s="44" t="n">
        <x:f>IF(F6-AA6&gt;0.000001,1,0)</x:f>
        <x:v>1</x:v>
      </x:c>
      <x:c r="AC6" s="44" t="n">
        <x:f>AA6+IF(AB6=1,MIN(MAX(0,F6-AA6),MAX(0,R$12-SUM(AA$5:AA$10))*S6/MAX(0.000001,SUMPRODUCT(S$5:S$10,AB$5:AB$10))),0)</x:f>
        <x:v>339.41953801274883</x:v>
      </x:c>
      <x:c r="AD6" s="44" t="n">
        <x:f>IF(F6-AC6&gt;0.000001,1,0)</x:f>
        <x:v>1</x:v>
      </x:c>
      <x:c r="AE6" s="44" t="n">
        <x:f>AC6+IF(AD6=1,MIN(MAX(0,F6-AC6),MAX(0,R$12-SUM(AC$5:AC$10))*S6/MAX(0.000001,SUMPRODUCT(S$5:S$10,AD$5:AD$10))),0)</x:f>
        <x:v>339.41953801274883</x:v>
      </x:c>
      <x:c r="AF6" s="44" t="n">
        <x:f>MAX(0.2,MIN(0.99,'口径映射'!$B$41+G$12-$F$31))</x:f>
        <x:v>0.9644444444444444</x:v>
      </x:c>
      <x:c r="AG6" s="44" t="n">
        <x:f>G6*AF6</x:f>
        <x:v>1109.111111111111</x:v>
      </x:c>
      <x:c r="AH6" s="44" t="n">
        <x:f>IF(G6-0&gt;0.000001,1,0)</x:f>
        <x:v>1</x:v>
      </x:c>
      <x:c r="AI6" s="44" t="n">
        <x:f>0+IF(AH6=1,MIN(G6,AF$12*AG6/MAX(0.000001,SUMPRODUCT(AG$5:AG$10,AH$5:AH$10))),0)</x:f>
        <x:v>1102.5410161771445</x:v>
      </x:c>
      <x:c r="AJ6" s="44" t="n">
        <x:f>IF(G6-AI6&gt;0.000001,1,0)</x:f>
        <x:v>1</x:v>
      </x:c>
      <x:c r="AK6" s="44" t="n">
        <x:f>AI6+IF(AJ6=1,MIN(MAX(0,G6-AI6),MAX(0,AF$12-SUM(AI$5:AI$10))*AG6/MAX(0.000001,SUMPRODUCT(AG$5:AG$10,AJ$5:AJ$10))),0)</x:f>
        <x:v>1102.5410161771445</x:v>
      </x:c>
      <x:c r="AL6" s="44" t="n">
        <x:f>IF(G6-AK6&gt;0.000001,1,0)</x:f>
        <x:v>1</x:v>
      </x:c>
      <x:c r="AM6" s="44" t="n">
        <x:f>AK6+IF(AL6=1,MIN(MAX(0,G6-AK6),MAX(0,AF$12-SUM(AK$5:AK$10))*AG6/MAX(0.000001,SUMPRODUCT(AG$5:AG$10,AL$5:AL$10))),0)</x:f>
        <x:v>1102.5410161771445</x:v>
      </x:c>
      <x:c r="AN6" s="44" t="n">
        <x:f>IF(G6-AM6&gt;0.000001,1,0)</x:f>
        <x:v>1</x:v>
      </x:c>
      <x:c r="AO6" s="44" t="n">
        <x:f>AM6+IF(AN6=1,MIN(MAX(0,G6-AM6),MAX(0,AF$12-SUM(AM$5:AM$10))*AG6/MAX(0.000001,SUMPRODUCT(AG$5:AG$10,AN$5:AN$10))),0)</x:f>
        <x:v>1102.5410161771445</x:v>
      </x:c>
      <x:c r="AP6" s="44" t="n">
        <x:f>IF(G6-AO6&gt;0.000001,1,0)</x:f>
        <x:v>1</x:v>
      </x:c>
      <x:c r="AQ6" s="44" t="n">
        <x:f>AO6+IF(AP6=1,MIN(MAX(0,G6-AO6),MAX(0,AF$12-SUM(AO$5:AO$10))*AG6/MAX(0.000001,SUMPRODUCT(AG$5:AG$10,AP$5:AP$10))),0)</x:f>
        <x:v>1102.5410161771445</x:v>
      </x:c>
      <x:c r="AR6" s="44" t="n">
        <x:f>IF(G6-AQ6&gt;0.000001,1,0)</x:f>
        <x:v>1</x:v>
      </x:c>
      <x:c r="AS6" s="44" t="n">
        <x:f>AQ6+IF(AR6=1,MIN(MAX(0,G6-AQ6),MAX(0,AF$12-SUM(AQ$5:AQ$10))*AG6/MAX(0.000001,SUMPRODUCT(AG$5:AG$10,AR$5:AR$10))),0)</x:f>
        <x:v>1102.5410161771445</x:v>
      </x:c>
      <x:c r="AT6" s="44" t="n">
        <x:f>MAX(0.2,MIN(0.99,'口径映射'!$B$41+H$12-$F$31))</x:f>
        <x:v>0.9844444444444445</x:v>
      </x:c>
      <x:c r="AU6" s="44" t="n">
        <x:f>H6*AT6</x:f>
        <x:v>2756.4444444444443</x:v>
      </x:c>
      <x:c r="AV6" s="44" t="n">
        <x:f>IF(H6-0&gt;0.000001,1,0)</x:f>
        <x:v>1</x:v>
      </x:c>
      <x:c r="AW6" s="44" t="n">
        <x:f>0+IF(AV6=1,MIN(H6,AT$12*AU6/MAX(0.000001,SUMPRODUCT(AU$5:AU$10,AV$5:AV$10))),0)</x:f>
        <x:v>2736.6176914709176</x:v>
      </x:c>
      <x:c r="AX6" s="44" t="n">
        <x:f>IF(H6-AW6&gt;0.000001,1,0)</x:f>
        <x:v>1</x:v>
      </x:c>
      <x:c r="AY6" s="44" t="n">
        <x:f>AW6+IF(AX6=1,MIN(MAX(0,H6-AW6),MAX(0,AT$12-SUM(AW$5:AW$10))*AU6/MAX(0.000001,SUMPRODUCT(AU$5:AU$10,AX$5:AX$10))),0)</x:f>
        <x:v>2736.617691470918</x:v>
      </x:c>
      <x:c r="AZ6" s="44" t="n">
        <x:f>IF(H6-AY6&gt;0.000001,1,0)</x:f>
        <x:v>1</x:v>
      </x:c>
      <x:c r="BA6" s="44" t="n">
        <x:f>AY6+IF(AZ6=1,MIN(MAX(0,H6-AY6),MAX(0,AT$12-SUM(AY$5:AY$10))*AU6/MAX(0.000001,SUMPRODUCT(AU$5:AU$10,AZ$5:AZ$10))),0)</x:f>
        <x:v>2736.617691470918</x:v>
      </x:c>
      <x:c r="BB6" s="44" t="n">
        <x:f>IF(H6-BA6&gt;0.000001,1,0)</x:f>
        <x:v>1</x:v>
      </x:c>
      <x:c r="BC6" s="44" t="n">
        <x:f>BA6+IF(BB6=1,MIN(MAX(0,H6-BA6),MAX(0,AT$12-SUM(BA$5:BA$10))*AU6/MAX(0.000001,SUMPRODUCT(AU$5:AU$10,BB$5:BB$10))),0)</x:f>
        <x:v>2736.617691470918</x:v>
      </x:c>
      <x:c r="BD6" s="44" t="n">
        <x:f>IF(H6-BC6&gt;0.000001,1,0)</x:f>
        <x:v>1</x:v>
      </x:c>
      <x:c r="BE6" s="44" t="n">
        <x:f>BC6+IF(BD6=1,MIN(MAX(0,H6-BC6),MAX(0,AT$12-SUM(BC$5:BC$10))*AU6/MAX(0.000001,SUMPRODUCT(AU$5:AU$10,BD$5:BD$10))),0)</x:f>
        <x:v>2736.617691470918</x:v>
      </x:c>
      <x:c r="BF6" s="44" t="n">
        <x:f>IF(H6-BE6&gt;0.000001,1,0)</x:f>
        <x:v>1</x:v>
      </x:c>
      <x:c r="BG6" s="44" t="n">
        <x:f>BE6+IF(BF6=1,MIN(MAX(0,H6-BE6),MAX(0,AT$12-SUM(BE$5:BE$10))*AU6/MAX(0.000001,SUMPRODUCT(AU$5:AU$10,BF$5:BF$10))),0)</x:f>
        <x:v>2736.617691470918</x:v>
      </x:c>
      <x:c r="BH6" s="44" t="n">
        <x:f>MAX(0.2,MIN(0.99,'口径映射'!$B$41+I$12-$F$31))</x:f>
        <x:v>0.99</x:v>
      </x:c>
      <x:c r="BI6" s="44" t="n">
        <x:f>I6*BH6</x:f>
        <x:v>5296.5</x:v>
      </x:c>
      <x:c r="BJ6" s="44" t="n">
        <x:f>IF(I6-0&gt;0.000001,1,0)</x:f>
        <x:v>1</x:v>
      </x:c>
      <x:c r="BK6" s="44" t="n">
        <x:f>0+IF(BJ6=1,MIN(I6,BH$12*BI6/MAX(0.000001,SUMPRODUCT(BI$5:BI$10,BJ$5:BJ$10))),0)</x:f>
        <x:v>5278.4889733558675</x:v>
      </x:c>
      <x:c r="BL6" s="44" t="n">
        <x:f>IF(I6-BK6&gt;0.000001,1,0)</x:f>
        <x:v>1</x:v>
      </x:c>
      <x:c r="BM6" s="44" t="n">
        <x:f>BK6+IF(BL6=1,MIN(MAX(0,I6-BK6),MAX(0,BH$12-SUM(BK$5:BK$10))*BI6/MAX(0.000001,SUMPRODUCT(BI$5:BI$10,BL$5:BL$10))),0)</x:f>
        <x:v>5278.4889733558675</x:v>
      </x:c>
      <x:c r="BN6" s="44" t="n">
        <x:f>IF(I6-BM6&gt;0.000001,1,0)</x:f>
        <x:v>1</x:v>
      </x:c>
      <x:c r="BO6" s="44" t="n">
        <x:f>BM6+IF(BN6=1,MIN(MAX(0,I6-BM6),MAX(0,BH$12-SUM(BM$5:BM$10))*BI6/MAX(0.000001,SUMPRODUCT(BI$5:BI$10,BN$5:BN$10))),0)</x:f>
        <x:v>5278.4889733558675</x:v>
      </x:c>
      <x:c r="BP6" s="44" t="n">
        <x:f>IF(I6-BO6&gt;0.000001,1,0)</x:f>
        <x:v>1</x:v>
      </x:c>
      <x:c r="BQ6" s="44" t="n">
        <x:f>BO6+IF(BP6=1,MIN(MAX(0,I6-BO6),MAX(0,BH$12-SUM(BO$5:BO$10))*BI6/MAX(0.000001,SUMPRODUCT(BI$5:BI$10,BP$5:BP$10))),0)</x:f>
        <x:v>5278.4889733558675</x:v>
      </x:c>
      <x:c r="BR6" s="44" t="n">
        <x:f>IF(I6-BQ6&gt;0.000001,1,0)</x:f>
        <x:v>1</x:v>
      </x:c>
      <x:c r="BS6" s="44" t="n">
        <x:f>BQ6+IF(BR6=1,MIN(MAX(0,I6-BQ6),MAX(0,BH$12-SUM(BQ$5:BQ$10))*BI6/MAX(0.000001,SUMPRODUCT(BI$5:BI$10,BR$5:BR$10))),0)</x:f>
        <x:v>5278.4889733558675</x:v>
      </x:c>
      <x:c r="BT6" s="44" t="n">
        <x:f>IF(I6-BS6&gt;0.000001,1,0)</x:f>
        <x:v>1</x:v>
      </x:c>
      <x:c r="BU6" s="44" t="n">
        <x:f>BS6+IF(BT6=1,MIN(MAX(0,I6-BS6),MAX(0,BH$12-SUM(BS$5:BS$10))*BI6/MAX(0.000001,SUMPRODUCT(BI$5:BI$10,BT$5:BT$10))),0)</x:f>
        <x:v>5278.4889733558675</x:v>
      </x:c>
      <x:c r="BV6" s="44" t="n">
        <x:f>MAX(0.2,MIN(0.99,'口径映射'!$B$41+J$12-$F$31))</x:f>
        <x:v>0.99</x:v>
      </x:c>
      <x:c r="BW6" s="44" t="n">
        <x:f>J6*BV6</x:f>
        <x:v>8910</x:v>
      </x:c>
      <x:c r="BX6" s="44" t="n">
        <x:f>IF(J6-0&gt;0.000001,1,0)</x:f>
        <x:v>1</x:v>
      </x:c>
      <x:c r="BY6" s="44" t="n">
        <x:f>0+IF(BX6=1,MIN(J6,BV$12*BW6/MAX(0.000001,SUMPRODUCT(BW$5:BW$10,BX$5:BX$10))),0)</x:f>
        <x:v>8927.724734249789</x:v>
      </x:c>
      <x:c r="BZ6" s="44" t="n">
        <x:f>IF(J6-BY6&gt;0.000001,1,0)</x:f>
        <x:v>1</x:v>
      </x:c>
      <x:c r="CA6" s="44" t="n">
        <x:f>BY6+IF(BZ6=1,MIN(MAX(0,J6-BY6),MAX(0,BV$12-SUM(BY$5:BY$10))*BW6/MAX(0.000001,SUMPRODUCT(BW$5:BW$10,BZ$5:BZ$10))),0)</x:f>
        <x:v>8927.72473424979</x:v>
      </x:c>
      <x:c r="CB6" s="44" t="n">
        <x:f>IF(J6-CA6&gt;0.000001,1,0)</x:f>
        <x:v>1</x:v>
      </x:c>
      <x:c r="CC6" s="44" t="n">
        <x:f>CA6+IF(CB6=1,MIN(MAX(0,J6-CA6),MAX(0,BV$12-SUM(CA$5:CA$10))*BW6/MAX(0.000001,SUMPRODUCT(BW$5:BW$10,CB$5:CB$10))),0)</x:f>
        <x:v>8927.72473424979</x:v>
      </x:c>
      <x:c r="CD6" s="44" t="n">
        <x:f>IF(J6-CC6&gt;0.000001,1,0)</x:f>
        <x:v>1</x:v>
      </x:c>
      <x:c r="CE6" s="44" t="n">
        <x:f>CC6+IF(CD6=1,MIN(MAX(0,J6-CC6),MAX(0,BV$12-SUM(CC$5:CC$10))*BW6/MAX(0.000001,SUMPRODUCT(BW$5:BW$10,CD$5:CD$10))),0)</x:f>
        <x:v>8927.72473424979</x:v>
      </x:c>
      <x:c r="CF6" s="44" t="n">
        <x:f>IF(J6-CE6&gt;0.000001,1,0)</x:f>
        <x:v>1</x:v>
      </x:c>
      <x:c r="CG6" s="44" t="n">
        <x:f>CE6+IF(CF6=1,MIN(MAX(0,J6-CE6),MAX(0,BV$12-SUM(CE$5:CE$10))*BW6/MAX(0.000001,SUMPRODUCT(BW$5:BW$10,CF$5:CF$10))),0)</x:f>
        <x:v>8927.72473424979</x:v>
      </x:c>
      <x:c r="CH6" s="44" t="n">
        <x:f>IF(J6-CG6&gt;0.000001,1,0)</x:f>
        <x:v>1</x:v>
      </x:c>
      <x:c r="CI6" s="44" t="n">
        <x:f>CG6+IF(CH6=1,MIN(MAX(0,J6-CG6),MAX(0,BV$12-SUM(CG$5:CG$10))*BW6/MAX(0.000001,SUMPRODUCT(BW$5:BW$10,CH$5:CH$10))),0)</x:f>
        <x:v>8927.72473424979</x:v>
      </x:c>
    </x:row>
    <x:row r="7" ht="15" hidden="0" customHeight="1">
      <x:c r="A7" s="16" t="str">
        <x:v>云AI与模型即服务（MaaS）收入</x:v>
      </x:c>
      <x:c r="B7" s="40" t="n">
        <x:f>B26</x:f>
        <x:v>50</x:v>
      </x:c>
      <x:c r="C7" s="40" t="n">
        <x:f>C26</x:f>
        <x:v>120</x:v>
      </x:c>
      <x:c r="D7" s="40" t="n">
        <x:f>D26</x:f>
        <x:v>280</x:v>
      </x:c>
      <x:c r="E7" s="40" t="n">
        <x:f>E26</x:f>
        <x:v>850</x:v>
      </x:c>
      <x:c r="F7" s="40" t="n">
        <x:f>F26+MAX(0,'Token量价利'!B$14-(F24)-(F26))*(F26)/MAX(0.01,(F24)+(F26))</x:f>
        <x:v>1003.5884556060274</x:v>
      </x:c>
      <x:c r="G7" s="40" t="n">
        <x:f>G26*'Token量价利'!C$18^$K7*('工作流ROI'!$C$28/0.2695)^$L7+MAX(0,'Token量价利'!C$14-(G24*'Token量价利'!C$18^$K5*('工作流ROI'!$C$28/0.2695)^$L5)-(G26*'Token量价利'!C$18^$K7*('工作流ROI'!$C$28/0.2695)^$L7))*(G26*'Token量价利'!C$18^$K7*('工作流ROI'!$C$28/0.2695)^$L7)/MAX(0.01,(G24*'Token量价利'!C$18^$K5*('工作流ROI'!$C$28/0.2695)^$L5)+(G26*'Token量价利'!C$18^$K7*('工作流ROI'!$C$28/0.2695)^$L7))</x:f>
        <x:v>2391.103732360147</x:v>
      </x:c>
      <x:c r="H7" s="40" t="n">
        <x:f>H26*'Token量价利'!D$18^$K7*('工作流ROI'!$C$29/0.3699)^$L7+MAX(0,'Token量价利'!D$14-(H24*'Token量价利'!D$18^$K5*('工作流ROI'!$C$29/0.3699)^$L5)-(H26*'Token量价利'!D$18^$K7*('工作流ROI'!$C$29/0.3699)^$L7))*(H26*'Token量价利'!D$18^$K7*('工作流ROI'!$C$29/0.3699)^$L7)/MAX(0.01,(H24*'Token量价利'!D$18^$K5*('工作流ROI'!$C$29/0.3699)^$L5)+(H26*'Token量价利'!D$18^$K7*('工作流ROI'!$C$29/0.3699)^$L7))</x:f>
        <x:v>4624.8812199551285</x:v>
      </x:c>
      <x:c r="I7" s="40" t="n">
        <x:f>I26*'Token量价利'!E$18^$K7*('工作流ROI'!$C$30/0.4656)^$L7+MAX(0,'Token量价利'!E$14-(I24*'Token量价利'!E$18^$K5*('工作流ROI'!$C$30/0.4656)^$L5)-(I26*'Token量价利'!E$18^$K7*('工作流ROI'!$C$30/0.4656)^$L7))*(I26*'Token量价利'!E$18^$K7*('工作流ROI'!$C$30/0.4656)^$L7)/MAX(0.01,(I24*'Token量价利'!E$18^$K5*('工作流ROI'!$C$30/0.4656)^$L5)+(I26*'Token量价利'!E$18^$K7*('工作流ROI'!$C$30/0.4656)^$L7))</x:f>
        <x:v>8038.18707424809</x:v>
      </x:c>
      <x:c r="J7" s="40" t="n">
        <x:f>J26*'Token量价利'!F$18^$K7*('工作流ROI'!$C$31/0.55)^$L7+MAX(0,'Token量价利'!F$14-(J24*'Token量价利'!F$18^$K5*('工作流ROI'!$C$31/0.55)^$L5)-(J26*'Token量价利'!F$18^$K7*('工作流ROI'!$C$31/0.55)^$L7))*(J26*'Token量价利'!F$18^$K7*('工作流ROI'!$C$31/0.55)^$L7)/MAX(0.01,(J24*'Token量价利'!F$18^$K5*('工作流ROI'!$C$31/0.55)^$L5)+(J26*'Token量价利'!F$18^$K7*('工作流ROI'!$C$31/0.55)^$L7))</x:f>
        <x:v>12613.906584139419</x:v>
      </x:c>
      <x:c r="K7" s="68" t="n">
        <x:v>0.8</x:v>
      </x:c>
      <x:c r="L7" s="68" t="n">
        <x:v>0.19999999999999996</x:v>
      </x:c>
      <x:c r="M7" s="92"/>
      <x:c r="N7" s="95" t="n">
        <x:v>2024</x:v>
      </x:c>
      <x:c r="O7" s="95" t="n">
        <x:f>D11</x:f>
        <x:v>850</x:v>
      </x:c>
      <x:c r="P7" s="95" t="n">
        <x:f>D13</x:f>
        <x:v>492.99999999999994</x:v>
      </x:c>
      <x:c r="Q7" s="95" t="n">
        <x:f>D15</x:f>
        <x:v>231.70999999999995</x:v>
      </x:c>
      <x:c r="R7" s="44" t="n">
        <x:f>MAX(0.2,MIN(0.99,'口径映射'!$B$42+F$12-$F$31))</x:f>
        <x:v>0.5145631067961165</x:v>
      </x:c>
      <x:c r="S7" s="44" t="n">
        <x:f>F7*R7</x:f>
        <x:v>516.4095936613539</x:v>
      </x:c>
      <x:c r="T7" s="44" t="n">
        <x:f>IF(F7-0&gt;0.000001,1,0)</x:f>
        <x:v>1</x:v>
      </x:c>
      <x:c r="U7" s="44" t="n">
        <x:f>0+IF(T7=1,MIN(F7,R$12*S7/MAX(0.000001,SUMPRODUCT(S$5:S$10,T$5:T$10))),0)</x:f>
        <x:v>515.5279579584944</x:v>
      </x:c>
      <x:c r="V7" s="44" t="n">
        <x:f>IF(F7-U7&gt;0.000001,1,0)</x:f>
        <x:v>1</x:v>
      </x:c>
      <x:c r="W7" s="44" t="n">
        <x:f>U7+IF(V7=1,MIN(MAX(0,F7-U7),MAX(0,R$12-SUM(U$5:U$10))*S7/MAX(0.000001,SUMPRODUCT(S$5:S$10,V$5:V$10))),0)</x:f>
        <x:v>515.5279579584944</x:v>
      </x:c>
      <x:c r="X7" s="44" t="n">
        <x:f>IF(F7-W7&gt;0.000001,1,0)</x:f>
        <x:v>1</x:v>
      </x:c>
      <x:c r="Y7" s="44" t="n">
        <x:f>W7+IF(X7=1,MIN(MAX(0,F7-W7),MAX(0,R$12-SUM(W$5:W$10))*S7/MAX(0.000001,SUMPRODUCT(S$5:S$10,X$5:X$10))),0)</x:f>
        <x:v>515.5279579584944</x:v>
      </x:c>
      <x:c r="Z7" s="44" t="n">
        <x:f>IF(F7-Y7&gt;0.000001,1,0)</x:f>
        <x:v>1</x:v>
      </x:c>
      <x:c r="AA7" s="44" t="n">
        <x:f>Y7+IF(Z7=1,MIN(MAX(0,F7-Y7),MAX(0,R$12-SUM(Y$5:Y$10))*S7/MAX(0.000001,SUMPRODUCT(S$5:S$10,Z$5:Z$10))),0)</x:f>
        <x:v>515.5279579584944</x:v>
      </x:c>
      <x:c r="AB7" s="44" t="n">
        <x:f>IF(F7-AA7&gt;0.000001,1,0)</x:f>
        <x:v>1</x:v>
      </x:c>
      <x:c r="AC7" s="44" t="n">
        <x:f>AA7+IF(AB7=1,MIN(MAX(0,F7-AA7),MAX(0,R$12-SUM(AA$5:AA$10))*S7/MAX(0.000001,SUMPRODUCT(S$5:S$10,AB$5:AB$10))),0)</x:f>
        <x:v>515.5279579584944</x:v>
      </x:c>
      <x:c r="AD7" s="44" t="n">
        <x:f>IF(F7-AC7&gt;0.000001,1,0)</x:f>
        <x:v>1</x:v>
      </x:c>
      <x:c r="AE7" s="44" t="n">
        <x:f>AC7+IF(AD7=1,MIN(MAX(0,F7-AC7),MAX(0,R$12-SUM(AC$5:AC$10))*S7/MAX(0.000001,SUMPRODUCT(S$5:S$10,AD$5:AD$10))),0)</x:f>
        <x:v>515.5279579584944</x:v>
      </x:c>
      <x:c r="AF7" s="44" t="n">
        <x:f>MAX(0.2,MIN(0.99,'口径映射'!$B$42+G$12-$F$31))</x:f>
        <x:v>0.5345631067961165</x:v>
      </x:c>
      <x:c r="AG7" s="44" t="n">
        <x:f>G7*AF7</x:f>
        <x:v>1278.1958398422303</x:v>
      </x:c>
      <x:c r="AH7" s="44" t="n">
        <x:f>IF(G7-0&gt;0.000001,1,0)</x:f>
        <x:v>1</x:v>
      </x:c>
      <x:c r="AI7" s="44" t="n">
        <x:f>0+IF(AH7=1,MIN(G7,AF$12*AG7/MAX(0.000001,SUMPRODUCT(AG$5:AG$10,AH$5:AH$10))),0)</x:f>
        <x:v>1270.6241295529414</x:v>
      </x:c>
      <x:c r="AJ7" s="44" t="n">
        <x:f>IF(G7-AI7&gt;0.000001,1,0)</x:f>
        <x:v>1</x:v>
      </x:c>
      <x:c r="AK7" s="44" t="n">
        <x:f>AI7+IF(AJ7=1,MIN(MAX(0,G7-AI7),MAX(0,AF$12-SUM(AI$5:AI$10))*AG7/MAX(0.000001,SUMPRODUCT(AG$5:AG$10,AJ$5:AJ$10))),0)</x:f>
        <x:v>1270.6241295529414</x:v>
      </x:c>
      <x:c r="AL7" s="44" t="n">
        <x:f>IF(G7-AK7&gt;0.000001,1,0)</x:f>
        <x:v>1</x:v>
      </x:c>
      <x:c r="AM7" s="44" t="n">
        <x:f>AK7+IF(AL7=1,MIN(MAX(0,G7-AK7),MAX(0,AF$12-SUM(AK$5:AK$10))*AG7/MAX(0.000001,SUMPRODUCT(AG$5:AG$10,AL$5:AL$10))),0)</x:f>
        <x:v>1270.6241295529414</x:v>
      </x:c>
      <x:c r="AN7" s="44" t="n">
        <x:f>IF(G7-AM7&gt;0.000001,1,0)</x:f>
        <x:v>1</x:v>
      </x:c>
      <x:c r="AO7" s="44" t="n">
        <x:f>AM7+IF(AN7=1,MIN(MAX(0,G7-AM7),MAX(0,AF$12-SUM(AM$5:AM$10))*AG7/MAX(0.000001,SUMPRODUCT(AG$5:AG$10,AN$5:AN$10))),0)</x:f>
        <x:v>1270.6241295529414</x:v>
      </x:c>
      <x:c r="AP7" s="44" t="n">
        <x:f>IF(G7-AO7&gt;0.000001,1,0)</x:f>
        <x:v>1</x:v>
      </x:c>
      <x:c r="AQ7" s="44" t="n">
        <x:f>AO7+IF(AP7=1,MIN(MAX(0,G7-AO7),MAX(0,AF$12-SUM(AO$5:AO$10))*AG7/MAX(0.000001,SUMPRODUCT(AG$5:AG$10,AP$5:AP$10))),0)</x:f>
        <x:v>1270.6241295529414</x:v>
      </x:c>
      <x:c r="AR7" s="44" t="n">
        <x:f>IF(G7-AQ7&gt;0.000001,1,0)</x:f>
        <x:v>1</x:v>
      </x:c>
      <x:c r="AS7" s="44" t="n">
        <x:f>AQ7+IF(AR7=1,MIN(MAX(0,G7-AQ7),MAX(0,AF$12-SUM(AQ$5:AQ$10))*AG7/MAX(0.000001,SUMPRODUCT(AG$5:AG$10,AR$5:AR$10))),0)</x:f>
        <x:v>1270.6241295529414</x:v>
      </x:c>
      <x:c r="AT7" s="44" t="n">
        <x:f>MAX(0.2,MIN(0.99,'口径映射'!$B$42+H$12-$F$31))</x:f>
        <x:v>0.5545631067961165</x:v>
      </x:c>
      <x:c r="AU7" s="44" t="n">
        <x:f>H7*AT7</x:f>
        <x:v>2564.7884979013297</x:v>
      </x:c>
      <x:c r="AV7" s="44" t="n">
        <x:f>IF(H7-0&gt;0.000001,1,0)</x:f>
        <x:v>1</x:v>
      </x:c>
      <x:c r="AW7" s="44" t="n">
        <x:f>0+IF(AV7=1,MIN(H7,AT$12*AU7/MAX(0.000001,SUMPRODUCT(AU$5:AU$10,AV$5:AV$10))),0)</x:f>
        <x:v>2546.340301682566</x:v>
      </x:c>
      <x:c r="AX7" s="44" t="n">
        <x:f>IF(H7-AW7&gt;0.000001,1,0)</x:f>
        <x:v>1</x:v>
      </x:c>
      <x:c r="AY7" s="44" t="n">
        <x:f>AW7+IF(AX7=1,MIN(MAX(0,H7-AW7),MAX(0,AT$12-SUM(AW$5:AW$10))*AU7/MAX(0.000001,SUMPRODUCT(AU$5:AU$10,AX$5:AX$10))),0)</x:f>
        <x:v>2546.3403016825664</x:v>
      </x:c>
      <x:c r="AZ7" s="44" t="n">
        <x:f>IF(H7-AY7&gt;0.000001,1,0)</x:f>
        <x:v>1</x:v>
      </x:c>
      <x:c r="BA7" s="44" t="n">
        <x:f>AY7+IF(AZ7=1,MIN(MAX(0,H7-AY7),MAX(0,AT$12-SUM(AY$5:AY$10))*AU7/MAX(0.000001,SUMPRODUCT(AU$5:AU$10,AZ$5:AZ$10))),0)</x:f>
        <x:v>2546.3403016825664</x:v>
      </x:c>
      <x:c r="BB7" s="44" t="n">
        <x:f>IF(H7-BA7&gt;0.000001,1,0)</x:f>
        <x:v>1</x:v>
      </x:c>
      <x:c r="BC7" s="44" t="n">
        <x:f>BA7+IF(BB7=1,MIN(MAX(0,H7-BA7),MAX(0,AT$12-SUM(BA$5:BA$10))*AU7/MAX(0.000001,SUMPRODUCT(AU$5:AU$10,BB$5:BB$10))),0)</x:f>
        <x:v>2546.3403016825664</x:v>
      </x:c>
      <x:c r="BD7" s="44" t="n">
        <x:f>IF(H7-BC7&gt;0.000001,1,0)</x:f>
        <x:v>1</x:v>
      </x:c>
      <x:c r="BE7" s="44" t="n">
        <x:f>BC7+IF(BD7=1,MIN(MAX(0,H7-BC7),MAX(0,AT$12-SUM(BC$5:BC$10))*AU7/MAX(0.000001,SUMPRODUCT(AU$5:AU$10,BD$5:BD$10))),0)</x:f>
        <x:v>2546.3403016825664</x:v>
      </x:c>
      <x:c r="BF7" s="44" t="n">
        <x:f>IF(H7-BE7&gt;0.000001,1,0)</x:f>
        <x:v>1</x:v>
      </x:c>
      <x:c r="BG7" s="44" t="n">
        <x:f>BE7+IF(BF7=1,MIN(MAX(0,H7-BE7),MAX(0,AT$12-SUM(BE$5:BE$10))*AU7/MAX(0.000001,SUMPRODUCT(AU$5:AU$10,BF$5:BF$10))),0)</x:f>
        <x:v>2546.3403016825664</x:v>
      </x:c>
      <x:c r="BH7" s="44" t="n">
        <x:f>MAX(0.2,MIN(0.99,'口径映射'!$B$42+I$12-$F$31))</x:f>
        <x:v>0.5745631067961166</x:v>
      </x:c>
      <x:c r="BI7" s="44" t="n">
        <x:f>I7*BH7</x:f>
        <x:v>4618.445738388369</x:v>
      </x:c>
      <x:c r="BJ7" s="44" t="n">
        <x:f>IF(I7-0&gt;0.000001,1,0)</x:f>
        <x:v>1</x:v>
      </x:c>
      <x:c r="BK7" s="44" t="n">
        <x:f>0+IF(BJ7=1,MIN(I7,BH$12*BI7/MAX(0.000001,SUMPRODUCT(BI$5:BI$10,BJ$5:BJ$10))),0)</x:f>
        <x:v>4602.7404709006705</x:v>
      </x:c>
      <x:c r="BL7" s="44" t="n">
        <x:f>IF(I7-BK7&gt;0.000001,1,0)</x:f>
        <x:v>1</x:v>
      </x:c>
      <x:c r="BM7" s="44" t="n">
        <x:f>BK7+IF(BL7=1,MIN(MAX(0,I7-BK7),MAX(0,BH$12-SUM(BK$5:BK$10))*BI7/MAX(0.000001,SUMPRODUCT(BI$5:BI$10,BL$5:BL$10))),0)</x:f>
        <x:v>4602.7404709006705</x:v>
      </x:c>
      <x:c r="BN7" s="44" t="n">
        <x:f>IF(I7-BM7&gt;0.000001,1,0)</x:f>
        <x:v>1</x:v>
      </x:c>
      <x:c r="BO7" s="44" t="n">
        <x:f>BM7+IF(BN7=1,MIN(MAX(0,I7-BM7),MAX(0,BH$12-SUM(BM$5:BM$10))*BI7/MAX(0.000001,SUMPRODUCT(BI$5:BI$10,BN$5:BN$10))),0)</x:f>
        <x:v>4602.7404709006705</x:v>
      </x:c>
      <x:c r="BP7" s="44" t="n">
        <x:f>IF(I7-BO7&gt;0.000001,1,0)</x:f>
        <x:v>1</x:v>
      </x:c>
      <x:c r="BQ7" s="44" t="n">
        <x:f>BO7+IF(BP7=1,MIN(MAX(0,I7-BO7),MAX(0,BH$12-SUM(BO$5:BO$10))*BI7/MAX(0.000001,SUMPRODUCT(BI$5:BI$10,BP$5:BP$10))),0)</x:f>
        <x:v>4602.7404709006705</x:v>
      </x:c>
      <x:c r="BR7" s="44" t="n">
        <x:f>IF(I7-BQ7&gt;0.000001,1,0)</x:f>
        <x:v>1</x:v>
      </x:c>
      <x:c r="BS7" s="44" t="n">
        <x:f>BQ7+IF(BR7=1,MIN(MAX(0,I7-BQ7),MAX(0,BH$12-SUM(BQ$5:BQ$10))*BI7/MAX(0.000001,SUMPRODUCT(BI$5:BI$10,BR$5:BR$10))),0)</x:f>
        <x:v>4602.7404709006705</x:v>
      </x:c>
      <x:c r="BT7" s="44" t="n">
        <x:f>IF(I7-BS7&gt;0.000001,1,0)</x:f>
        <x:v>1</x:v>
      </x:c>
      <x:c r="BU7" s="44" t="n">
        <x:f>BS7+IF(BT7=1,MIN(MAX(0,I7-BS7),MAX(0,BH$12-SUM(BS$5:BS$10))*BI7/MAX(0.000001,SUMPRODUCT(BI$5:BI$10,BT$5:BT$10))),0)</x:f>
        <x:v>4602.7404709006705</x:v>
      </x:c>
      <x:c r="BV7" s="44" t="n">
        <x:f>MAX(0.2,MIN(0.99,'口径映射'!$B$42+J$12-$F$31))</x:f>
        <x:v>0.5945631067961166</x:v>
      </x:c>
      <x:c r="BW7" s="44" t="n">
        <x:f>J7*BV7</x:f>
        <x:v>7499.763487501923</x:v>
      </x:c>
      <x:c r="BX7" s="44" t="n">
        <x:f>IF(J7-0&gt;0.000001,1,0)</x:f>
        <x:v>1</x:v>
      </x:c>
      <x:c r="BY7" s="44" t="n">
        <x:f>0+IF(BX7=1,MIN(J7,BV$12*BW7/MAX(0.000001,SUMPRODUCT(BW$5:BW$10,BX$5:BX$10))),0)</x:f>
        <x:v>7514.682826980288</x:v>
      </x:c>
      <x:c r="BZ7" s="44" t="n">
        <x:f>IF(J7-BY7&gt;0.000001,1,0)</x:f>
        <x:v>1</x:v>
      </x:c>
      <x:c r="CA7" s="44" t="n">
        <x:f>BY7+IF(BZ7=1,MIN(MAX(0,J7-BY7),MAX(0,BV$12-SUM(BY$5:BY$10))*BW7/MAX(0.000001,SUMPRODUCT(BW$5:BW$10,BZ$5:BZ$10))),0)</x:f>
        <x:v>7514.682826980289</x:v>
      </x:c>
      <x:c r="CB7" s="44" t="n">
        <x:f>IF(J7-CA7&gt;0.000001,1,0)</x:f>
        <x:v>1</x:v>
      </x:c>
      <x:c r="CC7" s="44" t="n">
        <x:f>CA7+IF(CB7=1,MIN(MAX(0,J7-CA7),MAX(0,BV$12-SUM(CA$5:CA$10))*BW7/MAX(0.000001,SUMPRODUCT(BW$5:BW$10,CB$5:CB$10))),0)</x:f>
        <x:v>7514.682826980289</x:v>
      </x:c>
      <x:c r="CD7" s="44" t="n">
        <x:f>IF(J7-CC7&gt;0.000001,1,0)</x:f>
        <x:v>1</x:v>
      </x:c>
      <x:c r="CE7" s="44" t="n">
        <x:f>CC7+IF(CD7=1,MIN(MAX(0,J7-CC7),MAX(0,BV$12-SUM(CC$5:CC$10))*BW7/MAX(0.000001,SUMPRODUCT(BW$5:BW$10,CD$5:CD$10))),0)</x:f>
        <x:v>7514.682826980289</x:v>
      </x:c>
      <x:c r="CF7" s="44" t="n">
        <x:f>IF(J7-CE7&gt;0.000001,1,0)</x:f>
        <x:v>1</x:v>
      </x:c>
      <x:c r="CG7" s="44" t="n">
        <x:f>CE7+IF(CF7=1,MIN(MAX(0,J7-CE7),MAX(0,BV$12-SUM(CE$5:CE$10))*BW7/MAX(0.000001,SUMPRODUCT(BW$5:BW$10,CF$5:CF$10))),0)</x:f>
        <x:v>7514.682826980289</x:v>
      </x:c>
      <x:c r="CH7" s="44" t="n">
        <x:f>IF(J7-CG7&gt;0.000001,1,0)</x:f>
        <x:v>1</x:v>
      </x:c>
      <x:c r="CI7" s="44" t="n">
        <x:f>CG7+IF(CH7=1,MIN(MAX(0,J7-CG7),MAX(0,BV$12-SUM(CG$5:CG$10))*BW7/MAX(0.000001,SUMPRODUCT(BW$5:BW$10,CH$5:CH$10))),0)</x:f>
        <x:v>7514.682826980289</x:v>
      </x:c>
    </x:row>
    <x:row r="8" ht="15" hidden="0" customHeight="1">
      <x:c r="A8" s="16" t="str">
        <x:v>大厂自有AI应用收入</x:v>
      </x:c>
      <x:c r="B8" s="40" t="n">
        <x:f>B27</x:f>
        <x:v>10</x:v>
      </x:c>
      <x:c r="C8" s="40" t="n">
        <x:f>C27</x:f>
        <x:v>20</x:v>
      </x:c>
      <x:c r="D8" s="40" t="n">
        <x:f>D27</x:f>
        <x:v>40</x:v>
      </x:c>
      <x:c r="E8" s="40" t="n">
        <x:f>E27</x:f>
        <x:v>250</x:v>
      </x:c>
      <x:c r="F8" s="40" t="n">
        <x:f>F27</x:f>
        <x:v>300</x:v>
      </x:c>
      <x:c r="G8" s="40" t="n">
        <x:f>G27*'Token量价利'!C$18^$K8*('工作流ROI'!$C$28/0.2695)^$L8</x:f>
        <x:v>950</x:v>
      </x:c>
      <x:c r="H8" s="40" t="n">
        <x:f>H27*'Token量价利'!D$18^$K8*('工作流ROI'!$C$29/0.3699)^$L8</x:f>
        <x:v>2200</x:v>
      </x:c>
      <x:c r="I8" s="40" t="n">
        <x:f>I27*'Token量价利'!E$18^$K8*('工作流ROI'!$C$30/0.4656)^$L8</x:f>
        <x:v>4300</x:v>
      </x:c>
      <x:c r="J8" s="40" t="n">
        <x:f>J27*'Token量价利'!F$18^$K8*('工作流ROI'!$C$31/0.55)^$L8</x:f>
        <x:v>7600</x:v>
      </x:c>
      <x:c r="K8" s="68" t="n">
        <x:v>0.2</x:v>
      </x:c>
      <x:c r="L8" s="68" t="n">
        <x:v>0.8</x:v>
      </x:c>
      <x:c r="M8" s="92"/>
      <x:c r="N8" s="95" t="n">
        <x:v>2025</x:v>
      </x:c>
      <x:c r="O8" s="95" t="n">
        <x:f>E11</x:f>
        <x:v>2860</x:v>
      </x:c>
      <x:c r="P8" s="95" t="n">
        <x:f>E13</x:f>
        <x:v>1801.8</x:v>
      </x:c>
      <x:c r="Q8" s="95" t="n">
        <x:f>E15</x:f>
        <x:v>864.864</x:v>
      </x:c>
      <x:c r="R8" s="44" t="n">
        <x:f>MAX(0.2,MIN(0.99,'口径映射'!$B$43+F$12-$F$31))</x:f>
        <x:v>0.9666666666666666</x:v>
      </x:c>
      <x:c r="S8" s="44" t="n">
        <x:f>F8*R8</x:f>
        <x:v>289.99999999999994</x:v>
      </x:c>
      <x:c r="T8" s="44" t="n">
        <x:f>IF(F8-0&gt;0.000001,1,0)</x:f>
        <x:v>1</x:v>
      </x:c>
      <x:c r="U8" s="44" t="n">
        <x:f>0+IF(T8=1,MIN(F8,R$12*S8/MAX(0.000001,SUMPRODUCT(S$5:S$10,T$5:T$10))),0)</x:f>
        <x:v>289.5049000696975</x:v>
      </x:c>
      <x:c r="V8" s="44" t="n">
        <x:f>IF(F8-U8&gt;0.000001,1,0)</x:f>
        <x:v>1</x:v>
      </x:c>
      <x:c r="W8" s="44" t="n">
        <x:f>U8+IF(V8=1,MIN(MAX(0,F8-U8),MAX(0,R$12-SUM(U$5:U$10))*S8/MAX(0.000001,SUMPRODUCT(S$5:S$10,V$5:V$10))),0)</x:f>
        <x:v>289.5049000696975</x:v>
      </x:c>
      <x:c r="X8" s="44" t="n">
        <x:f>IF(F8-W8&gt;0.000001,1,0)</x:f>
        <x:v>1</x:v>
      </x:c>
      <x:c r="Y8" s="44" t="n">
        <x:f>W8+IF(X8=1,MIN(MAX(0,F8-W8),MAX(0,R$12-SUM(W$5:W$10))*S8/MAX(0.000001,SUMPRODUCT(S$5:S$10,X$5:X$10))),0)</x:f>
        <x:v>289.5049000696975</x:v>
      </x:c>
      <x:c r="Z8" s="44" t="n">
        <x:f>IF(F8-Y8&gt;0.000001,1,0)</x:f>
        <x:v>1</x:v>
      </x:c>
      <x:c r="AA8" s="44" t="n">
        <x:f>Y8+IF(Z8=1,MIN(MAX(0,F8-Y8),MAX(0,R$12-SUM(Y$5:Y$10))*S8/MAX(0.000001,SUMPRODUCT(S$5:S$10,Z$5:Z$10))),0)</x:f>
        <x:v>289.5049000696975</x:v>
      </x:c>
      <x:c r="AB8" s="44" t="n">
        <x:f>IF(F8-AA8&gt;0.000001,1,0)</x:f>
        <x:v>1</x:v>
      </x:c>
      <x:c r="AC8" s="44" t="n">
        <x:f>AA8+IF(AB8=1,MIN(MAX(0,F8-AA8),MAX(0,R$12-SUM(AA$5:AA$10))*S8/MAX(0.000001,SUMPRODUCT(S$5:S$10,AB$5:AB$10))),0)</x:f>
        <x:v>289.5049000696975</x:v>
      </x:c>
      <x:c r="AD8" s="44" t="n">
        <x:f>IF(F8-AC8&gt;0.000001,1,0)</x:f>
        <x:v>1</x:v>
      </x:c>
      <x:c r="AE8" s="44" t="n">
        <x:f>AC8+IF(AD8=1,MIN(MAX(0,F8-AC8),MAX(0,R$12-SUM(AC$5:AC$10))*S8/MAX(0.000001,SUMPRODUCT(S$5:S$10,AD$5:AD$10))),0)</x:f>
        <x:v>289.5049000696975</x:v>
      </x:c>
      <x:c r="AF8" s="44" t="n">
        <x:f>MAX(0.2,MIN(0.99,'口径映射'!$B$43+G$12-$F$31))</x:f>
        <x:v>0.9866666666666666</x:v>
      </x:c>
      <x:c r="AG8" s="44" t="n">
        <x:f>G8*AF8</x:f>
        <x:v>937.3333333333333</x:v>
      </x:c>
      <x:c r="AH8" s="44" t="n">
        <x:f>IF(G8-0&gt;0.000001,1,0)</x:f>
        <x:v>1</x:v>
      </x:c>
      <x:c r="AI8" s="44" t="n">
        <x:f>0+IF(AH8=1,MIN(G8,AF$12*AG8/MAX(0.000001,SUMPRODUCT(AG$5:AG$10,AH$5:AH$10))),0)</x:f>
        <x:v>931.7808066990975</x:v>
      </x:c>
      <x:c r="AJ8" s="44" t="n">
        <x:f>IF(G8-AI8&gt;0.000001,1,0)</x:f>
        <x:v>1</x:v>
      </x:c>
      <x:c r="AK8" s="44" t="n">
        <x:f>AI8+IF(AJ8=1,MIN(MAX(0,G8-AI8),MAX(0,AF$12-SUM(AI$5:AI$10))*AG8/MAX(0.000001,SUMPRODUCT(AG$5:AG$10,AJ$5:AJ$10))),0)</x:f>
        <x:v>931.7808066990975</x:v>
      </x:c>
      <x:c r="AL8" s="44" t="n">
        <x:f>IF(G8-AK8&gt;0.000001,1,0)</x:f>
        <x:v>1</x:v>
      </x:c>
      <x:c r="AM8" s="44" t="n">
        <x:f>AK8+IF(AL8=1,MIN(MAX(0,G8-AK8),MAX(0,AF$12-SUM(AK$5:AK$10))*AG8/MAX(0.000001,SUMPRODUCT(AG$5:AG$10,AL$5:AL$10))),0)</x:f>
        <x:v>931.7808066990975</x:v>
      </x:c>
      <x:c r="AN8" s="44" t="n">
        <x:f>IF(G8-AM8&gt;0.000001,1,0)</x:f>
        <x:v>1</x:v>
      </x:c>
      <x:c r="AO8" s="44" t="n">
        <x:f>AM8+IF(AN8=1,MIN(MAX(0,G8-AM8),MAX(0,AF$12-SUM(AM$5:AM$10))*AG8/MAX(0.000001,SUMPRODUCT(AG$5:AG$10,AN$5:AN$10))),0)</x:f>
        <x:v>931.7808066990975</x:v>
      </x:c>
      <x:c r="AP8" s="44" t="n">
        <x:f>IF(G8-AO8&gt;0.000001,1,0)</x:f>
        <x:v>1</x:v>
      </x:c>
      <x:c r="AQ8" s="44" t="n">
        <x:f>AO8+IF(AP8=1,MIN(MAX(0,G8-AO8),MAX(0,AF$12-SUM(AO$5:AO$10))*AG8/MAX(0.000001,SUMPRODUCT(AG$5:AG$10,AP$5:AP$10))),0)</x:f>
        <x:v>931.7808066990975</x:v>
      </x:c>
      <x:c r="AR8" s="44" t="n">
        <x:f>IF(G8-AQ8&gt;0.000001,1,0)</x:f>
        <x:v>1</x:v>
      </x:c>
      <x:c r="AS8" s="44" t="n">
        <x:f>AQ8+IF(AR8=1,MIN(MAX(0,G8-AQ8),MAX(0,AF$12-SUM(AQ$5:AQ$10))*AG8/MAX(0.000001,SUMPRODUCT(AG$5:AG$10,AR$5:AR$10))),0)</x:f>
        <x:v>931.7808066990975</x:v>
      </x:c>
      <x:c r="AT8" s="44" t="n">
        <x:f>MAX(0.2,MIN(0.99,'口径映射'!$B$43+H$12-$F$31))</x:f>
        <x:v>0.99</x:v>
      </x:c>
      <x:c r="AU8" s="44" t="n">
        <x:f>H8*AT8</x:f>
        <x:v>2178</x:v>
      </x:c>
      <x:c r="AV8" s="44" t="n">
        <x:f>IF(H8-0&gt;0.000001,1,0)</x:f>
        <x:v>1</x:v>
      </x:c>
      <x:c r="AW8" s="44" t="n">
        <x:f>0+IF(AV8=1,MIN(H8,AT$12*AU8/MAX(0.000001,SUMPRODUCT(AU$5:AU$10,AV$5:AV$10))),0)</x:f>
        <x:v>2162.333924065339</x:v>
      </x:c>
      <x:c r="AX8" s="44" t="n">
        <x:f>IF(H8-AW8&gt;0.000001,1,0)</x:f>
        <x:v>1</x:v>
      </x:c>
      <x:c r="AY8" s="44" t="n">
        <x:f>AW8+IF(AX8=1,MIN(MAX(0,H8-AW8),MAX(0,AT$12-SUM(AW$5:AW$10))*AU8/MAX(0.000001,SUMPRODUCT(AU$5:AU$10,AX$5:AX$10))),0)</x:f>
        <x:v>2162.3339240653395</x:v>
      </x:c>
      <x:c r="AZ8" s="44" t="n">
        <x:f>IF(H8-AY8&gt;0.000001,1,0)</x:f>
        <x:v>1</x:v>
      </x:c>
      <x:c r="BA8" s="44" t="n">
        <x:f>AY8+IF(AZ8=1,MIN(MAX(0,H8-AY8),MAX(0,AT$12-SUM(AY$5:AY$10))*AU8/MAX(0.000001,SUMPRODUCT(AU$5:AU$10,AZ$5:AZ$10))),0)</x:f>
        <x:v>2162.3339240653395</x:v>
      </x:c>
      <x:c r="BB8" s="44" t="n">
        <x:f>IF(H8-BA8&gt;0.000001,1,0)</x:f>
        <x:v>1</x:v>
      </x:c>
      <x:c r="BC8" s="44" t="n">
        <x:f>BA8+IF(BB8=1,MIN(MAX(0,H8-BA8),MAX(0,AT$12-SUM(BA$5:BA$10))*AU8/MAX(0.000001,SUMPRODUCT(AU$5:AU$10,BB$5:BB$10))),0)</x:f>
        <x:v>2162.3339240653395</x:v>
      </x:c>
      <x:c r="BD8" s="44" t="n">
        <x:f>IF(H8-BC8&gt;0.000001,1,0)</x:f>
        <x:v>1</x:v>
      </x:c>
      <x:c r="BE8" s="44" t="n">
        <x:f>BC8+IF(BD8=1,MIN(MAX(0,H8-BC8),MAX(0,AT$12-SUM(BC$5:BC$10))*AU8/MAX(0.000001,SUMPRODUCT(AU$5:AU$10,BD$5:BD$10))),0)</x:f>
        <x:v>2162.3339240653395</x:v>
      </x:c>
      <x:c r="BF8" s="44" t="n">
        <x:f>IF(H8-BE8&gt;0.000001,1,0)</x:f>
        <x:v>1</x:v>
      </x:c>
      <x:c r="BG8" s="44" t="n">
        <x:f>BE8+IF(BF8=1,MIN(MAX(0,H8-BE8),MAX(0,AT$12-SUM(BE$5:BE$10))*AU8/MAX(0.000001,SUMPRODUCT(AU$5:AU$10,BF$5:BF$10))),0)</x:f>
        <x:v>2162.3339240653395</x:v>
      </x:c>
      <x:c r="BH8" s="44" t="n">
        <x:f>MAX(0.2,MIN(0.99,'口径映射'!$B$43+I$12-$F$31))</x:f>
        <x:v>0.99</x:v>
      </x:c>
      <x:c r="BI8" s="44" t="n">
        <x:f>I8*BH8</x:f>
        <x:v>4257</x:v>
      </x:c>
      <x:c r="BJ8" s="44" t="n">
        <x:f>IF(I8-0&gt;0.000001,1,0)</x:f>
        <x:v>1</x:v>
      </x:c>
      <x:c r="BK8" s="44" t="n">
        <x:f>0+IF(BJ8=1,MIN(I8,BH$12*BI8/MAX(0.000001,SUMPRODUCT(BI$5:BI$10,BJ$5:BJ$10))),0)</x:f>
        <x:v>4242.523847743968</x:v>
      </x:c>
      <x:c r="BL8" s="44" t="n">
        <x:f>IF(I8-BK8&gt;0.000001,1,0)</x:f>
        <x:v>1</x:v>
      </x:c>
      <x:c r="BM8" s="44" t="n">
        <x:f>BK8+IF(BL8=1,MIN(MAX(0,I8-BK8),MAX(0,BH$12-SUM(BK$5:BK$10))*BI8/MAX(0.000001,SUMPRODUCT(BI$5:BI$10,BL$5:BL$10))),0)</x:f>
        <x:v>4242.523847743968</x:v>
      </x:c>
      <x:c r="BN8" s="44" t="n">
        <x:f>IF(I8-BM8&gt;0.000001,1,0)</x:f>
        <x:v>1</x:v>
      </x:c>
      <x:c r="BO8" s="44" t="n">
        <x:f>BM8+IF(BN8=1,MIN(MAX(0,I8-BM8),MAX(0,BH$12-SUM(BM$5:BM$10))*BI8/MAX(0.000001,SUMPRODUCT(BI$5:BI$10,BN$5:BN$10))),0)</x:f>
        <x:v>4242.523847743968</x:v>
      </x:c>
      <x:c r="BP8" s="44" t="n">
        <x:f>IF(I8-BO8&gt;0.000001,1,0)</x:f>
        <x:v>1</x:v>
      </x:c>
      <x:c r="BQ8" s="44" t="n">
        <x:f>BO8+IF(BP8=1,MIN(MAX(0,I8-BO8),MAX(0,BH$12-SUM(BO$5:BO$10))*BI8/MAX(0.000001,SUMPRODUCT(BI$5:BI$10,BP$5:BP$10))),0)</x:f>
        <x:v>4242.523847743968</x:v>
      </x:c>
      <x:c r="BR8" s="44" t="n">
        <x:f>IF(I8-BQ8&gt;0.000001,1,0)</x:f>
        <x:v>1</x:v>
      </x:c>
      <x:c r="BS8" s="44" t="n">
        <x:f>BQ8+IF(BR8=1,MIN(MAX(0,I8-BQ8),MAX(0,BH$12-SUM(BQ$5:BQ$10))*BI8/MAX(0.000001,SUMPRODUCT(BI$5:BI$10,BR$5:BR$10))),0)</x:f>
        <x:v>4242.523847743968</x:v>
      </x:c>
      <x:c r="BT8" s="44" t="n">
        <x:f>IF(I8-BS8&gt;0.000001,1,0)</x:f>
        <x:v>1</x:v>
      </x:c>
      <x:c r="BU8" s="44" t="n">
        <x:f>BS8+IF(BT8=1,MIN(MAX(0,I8-BS8),MAX(0,BH$12-SUM(BS$5:BS$10))*BI8/MAX(0.000001,SUMPRODUCT(BI$5:BI$10,BT$5:BT$10))),0)</x:f>
        <x:v>4242.523847743968</x:v>
      </x:c>
      <x:c r="BV8" s="44" t="n">
        <x:f>MAX(0.2,MIN(0.99,'口径映射'!$B$43+J$12-$F$31))</x:f>
        <x:v>0.99</x:v>
      </x:c>
      <x:c r="BW8" s="44" t="n">
        <x:f>J8*BV8</x:f>
        <x:v>7524</x:v>
      </x:c>
      <x:c r="BX8" s="44" t="n">
        <x:f>IF(J8-0&gt;0.000001,1,0)</x:f>
        <x:v>1</x:v>
      </x:c>
      <x:c r="BY8" s="44" t="n">
        <x:f>0+IF(BX8=1,MIN(J8,BV$12*BW8/MAX(0.000001,SUMPRODUCT(BW$5:BW$10,BX$5:BX$10))),0)</x:f>
        <x:v>7538.967553366489</x:v>
      </x:c>
      <x:c r="BZ8" s="44" t="n">
        <x:f>IF(J8-BY8&gt;0.000001,1,0)</x:f>
        <x:v>1</x:v>
      </x:c>
      <x:c r="CA8" s="44" t="n">
        <x:f>BY8+IF(BZ8=1,MIN(MAX(0,J8-BY8),MAX(0,BV$12-SUM(BY$5:BY$10))*BW8/MAX(0.000001,SUMPRODUCT(BW$5:BW$10,BZ$5:BZ$10))),0)</x:f>
        <x:v>7538.9675533664895</x:v>
      </x:c>
      <x:c r="CB8" s="44" t="n">
        <x:f>IF(J8-CA8&gt;0.000001,1,0)</x:f>
        <x:v>1</x:v>
      </x:c>
      <x:c r="CC8" s="44" t="n">
        <x:f>CA8+IF(CB8=1,MIN(MAX(0,J8-CA8),MAX(0,BV$12-SUM(CA$5:CA$10))*BW8/MAX(0.000001,SUMPRODUCT(BW$5:BW$10,CB$5:CB$10))),0)</x:f>
        <x:v>7538.9675533664895</x:v>
      </x:c>
      <x:c r="CD8" s="44" t="n">
        <x:f>IF(J8-CC8&gt;0.000001,1,0)</x:f>
        <x:v>1</x:v>
      </x:c>
      <x:c r="CE8" s="44" t="n">
        <x:f>CC8+IF(CD8=1,MIN(MAX(0,J8-CC8),MAX(0,BV$12-SUM(CC$5:CC$10))*BW8/MAX(0.000001,SUMPRODUCT(BW$5:BW$10,CD$5:CD$10))),0)</x:f>
        <x:v>7538.9675533664895</x:v>
      </x:c>
      <x:c r="CF8" s="44" t="n">
        <x:f>IF(J8-CE8&gt;0.000001,1,0)</x:f>
        <x:v>1</x:v>
      </x:c>
      <x:c r="CG8" s="44" t="n">
        <x:f>CE8+IF(CF8=1,MIN(MAX(0,J8-CE8),MAX(0,BV$12-SUM(CE$5:CE$10))*BW8/MAX(0.000001,SUMPRODUCT(BW$5:BW$10,CF$5:CF$10))),0)</x:f>
        <x:v>7538.9675533664895</x:v>
      </x:c>
      <x:c r="CH8" s="44" t="n">
        <x:f>IF(J8-CG8&gt;0.000001,1,0)</x:f>
        <x:v>1</x:v>
      </x:c>
      <x:c r="CI8" s="44" t="n">
        <x:f>CG8+IF(CH8=1,MIN(MAX(0,J8-CG8),MAX(0,BV$12-SUM(CG$5:CG$10))*BW8/MAX(0.000001,SUMPRODUCT(BW$5:BW$10,CH$5:CH$10))),0)</x:f>
        <x:v>7538.9675533664895</x:v>
      </x:c>
    </x:row>
    <x:row r="9" ht="15" hidden="0" customHeight="1">
      <x:c r="A9" s="16" t="str">
        <x:v>AI服务与行业解决方案收入</x:v>
      </x:c>
      <x:c r="B9" s="40" t="n">
        <x:f>B28</x:f>
        <x:v>50</x:v>
      </x:c>
      <x:c r="C9" s="40" t="n">
        <x:f>C28</x:f>
        <x:v>120</x:v>
      </x:c>
      <x:c r="D9" s="40" t="n">
        <x:f>D28</x:f>
        <x:v>200</x:v>
      </x:c>
      <x:c r="E9" s="40" t="n">
        <x:f>E28</x:f>
        <x:v>650</x:v>
      </x:c>
      <x:c r="F9" s="40" t="n">
        <x:f>F28</x:f>
        <x:v>770</x:v>
      </x:c>
      <x:c r="G9" s="40" t="n">
        <x:f>G28*'Token量价利'!C$18^$K9*('工作流ROI'!$C$28/0.2695)^$L9</x:f>
        <x:v>1750</x:v>
      </x:c>
      <x:c r="H9" s="40" t="n">
        <x:f>H28*'Token量价利'!D$18^$K9*('工作流ROI'!$C$29/0.3699)^$L9</x:f>
        <x:v>3100</x:v>
      </x:c>
      <x:c r="I9" s="40" t="n">
        <x:f>I28*'Token量价利'!E$18^$K9*('工作流ROI'!$C$30/0.4656)^$L9</x:f>
        <x:v>5400</x:v>
      </x:c>
      <x:c r="J9" s="40" t="n">
        <x:f>J28*'Token量价利'!F$18^$K9*('工作流ROI'!$C$31/0.55)^$L9</x:f>
        <x:v>9000</x:v>
      </x:c>
      <x:c r="K9" s="68" t="n">
        <x:v>0.05</x:v>
      </x:c>
      <x:c r="L9" s="68" t="n">
        <x:v>0.95</x:v>
      </x:c>
      <x:c r="M9" s="92"/>
      <x:c r="N9" s="95" t="n">
        <x:v>2026</x:v>
      </x:c>
      <x:c r="O9" s="95" t="n">
        <x:f>F11</x:f>
        <x:v>3898.4590250175875</x:v>
      </x:c>
      <x:c r="P9" s="95" t="n">
        <x:f>F13</x:f>
        <x:v>3118.76722001407</x:v>
      </x:c>
      <x:c r="Q9" s="95" t="n">
        <x:f>F15</x:f>
        <x:v>1559.383610007035</x:v>
      </x:c>
      <x:c r="R9" s="44" t="n">
        <x:f>MAX(0.2,MIN(0.99,'口径映射'!$B$44+F$12-$F$31))</x:f>
        <x:v>0.8441558441558441</x:v>
      </x:c>
      <x:c r="S9" s="44" t="n">
        <x:f>F9*R9</x:f>
        <x:v>650</x:v>
      </x:c>
      <x:c r="T9" s="44" t="n">
        <x:f>IF(F9-0&gt;0.000001,1,0)</x:f>
        <x:v>1</x:v>
      </x:c>
      <x:c r="U9" s="44" t="n">
        <x:f>0+IF(T9=1,MIN(F9,R$12*S9/MAX(0.000001,SUMPRODUCT(S$5:S$10,T$5:T$10))),0)</x:f>
        <x:v>648.8902932596669</x:v>
      </x:c>
      <x:c r="V9" s="44" t="n">
        <x:f>IF(F9-U9&gt;0.000001,1,0)</x:f>
        <x:v>1</x:v>
      </x:c>
      <x:c r="W9" s="44" t="n">
        <x:f>U9+IF(V9=1,MIN(MAX(0,F9-U9),MAX(0,R$12-SUM(U$5:U$10))*S9/MAX(0.000001,SUMPRODUCT(S$5:S$10,V$5:V$10))),0)</x:f>
        <x:v>648.8902932596669</x:v>
      </x:c>
      <x:c r="X9" s="44" t="n">
        <x:f>IF(F9-W9&gt;0.000001,1,0)</x:f>
        <x:v>1</x:v>
      </x:c>
      <x:c r="Y9" s="44" t="n">
        <x:f>W9+IF(X9=1,MIN(MAX(0,F9-W9),MAX(0,R$12-SUM(W$5:W$10))*S9/MAX(0.000001,SUMPRODUCT(S$5:S$10,X$5:X$10))),0)</x:f>
        <x:v>648.8902932596669</x:v>
      </x:c>
      <x:c r="Z9" s="44" t="n">
        <x:f>IF(F9-Y9&gt;0.000001,1,0)</x:f>
        <x:v>1</x:v>
      </x:c>
      <x:c r="AA9" s="44" t="n">
        <x:f>Y9+IF(Z9=1,MIN(MAX(0,F9-Y9),MAX(0,R$12-SUM(Y$5:Y$10))*S9/MAX(0.000001,SUMPRODUCT(S$5:S$10,Z$5:Z$10))),0)</x:f>
        <x:v>648.8902932596669</x:v>
      </x:c>
      <x:c r="AB9" s="44" t="n">
        <x:f>IF(F9-AA9&gt;0.000001,1,0)</x:f>
        <x:v>1</x:v>
      </x:c>
      <x:c r="AC9" s="44" t="n">
        <x:f>AA9+IF(AB9=1,MIN(MAX(0,F9-AA9),MAX(0,R$12-SUM(AA$5:AA$10))*S9/MAX(0.000001,SUMPRODUCT(S$5:S$10,AB$5:AB$10))),0)</x:f>
        <x:v>648.8902932596669</x:v>
      </x:c>
      <x:c r="AD9" s="44" t="n">
        <x:f>IF(F9-AC9&gt;0.000001,1,0)</x:f>
        <x:v>1</x:v>
      </x:c>
      <x:c r="AE9" s="44" t="n">
        <x:f>AC9+IF(AD9=1,MIN(MAX(0,F9-AC9),MAX(0,R$12-SUM(AC$5:AC$10))*S9/MAX(0.000001,SUMPRODUCT(S$5:S$10,AD$5:AD$10))),0)</x:f>
        <x:v>648.8902932596669</x:v>
      </x:c>
      <x:c r="AF9" s="44" t="n">
        <x:f>MAX(0.2,MIN(0.99,'口径映射'!$B$44+G$12-$F$31))</x:f>
        <x:v>0.8641558441558439</x:v>
      </x:c>
      <x:c r="AG9" s="44" t="n">
        <x:f>G9*AF9</x:f>
        <x:v>1512.2727272727268</x:v>
      </x:c>
      <x:c r="AH9" s="44" t="n">
        <x:f>IF(G9-0&gt;0.000001,1,0)</x:f>
        <x:v>1</x:v>
      </x:c>
      <x:c r="AI9" s="44" t="n">
        <x:f>0+IF(AH9=1,MIN(G9,AF$12*AG9/MAX(0.000001,SUMPRODUCT(AG$5:AG$10,AH$5:AH$10))),0)</x:f>
        <x:v>1503.314404445831</x:v>
      </x:c>
      <x:c r="AJ9" s="44" t="n">
        <x:f>IF(G9-AI9&gt;0.000001,1,0)</x:f>
        <x:v>1</x:v>
      </x:c>
      <x:c r="AK9" s="44" t="n">
        <x:f>AI9+IF(AJ9=1,MIN(MAX(0,G9-AI9),MAX(0,AF$12-SUM(AI$5:AI$10))*AG9/MAX(0.000001,SUMPRODUCT(AG$5:AG$10,AJ$5:AJ$10))),0)</x:f>
        <x:v>1503.314404445831</x:v>
      </x:c>
      <x:c r="AL9" s="44" t="n">
        <x:f>IF(G9-AK9&gt;0.000001,1,0)</x:f>
        <x:v>1</x:v>
      </x:c>
      <x:c r="AM9" s="44" t="n">
        <x:f>AK9+IF(AL9=1,MIN(MAX(0,G9-AK9),MAX(0,AF$12-SUM(AK$5:AK$10))*AG9/MAX(0.000001,SUMPRODUCT(AG$5:AG$10,AL$5:AL$10))),0)</x:f>
        <x:v>1503.314404445831</x:v>
      </x:c>
      <x:c r="AN9" s="44" t="n">
        <x:f>IF(G9-AM9&gt;0.000001,1,0)</x:f>
        <x:v>1</x:v>
      </x:c>
      <x:c r="AO9" s="44" t="n">
        <x:f>AM9+IF(AN9=1,MIN(MAX(0,G9-AM9),MAX(0,AF$12-SUM(AM$5:AM$10))*AG9/MAX(0.000001,SUMPRODUCT(AG$5:AG$10,AN$5:AN$10))),0)</x:f>
        <x:v>1503.314404445831</x:v>
      </x:c>
      <x:c r="AP9" s="44" t="n">
        <x:f>IF(G9-AO9&gt;0.000001,1,0)</x:f>
        <x:v>1</x:v>
      </x:c>
      <x:c r="AQ9" s="44" t="n">
        <x:f>AO9+IF(AP9=1,MIN(MAX(0,G9-AO9),MAX(0,AF$12-SUM(AO$5:AO$10))*AG9/MAX(0.000001,SUMPRODUCT(AG$5:AG$10,AP$5:AP$10))),0)</x:f>
        <x:v>1503.314404445831</x:v>
      </x:c>
      <x:c r="AR9" s="44" t="n">
        <x:f>IF(G9-AQ9&gt;0.000001,1,0)</x:f>
        <x:v>1</x:v>
      </x:c>
      <x:c r="AS9" s="44" t="n">
        <x:f>AQ9+IF(AR9=1,MIN(MAX(0,G9-AQ9),MAX(0,AF$12-SUM(AQ$5:AQ$10))*AG9/MAX(0.000001,SUMPRODUCT(AG$5:AG$10,AR$5:AR$10))),0)</x:f>
        <x:v>1503.314404445831</x:v>
      </x:c>
      <x:c r="AT9" s="44" t="n">
        <x:f>MAX(0.2,MIN(0.99,'口径映射'!$B$44+H$12-$F$31))</x:f>
        <x:v>0.8841558441558439</x:v>
      </x:c>
      <x:c r="AU9" s="44" t="n">
        <x:f>H9*AT9</x:f>
        <x:v>2740.883116883116</x:v>
      </x:c>
      <x:c r="AV9" s="44" t="n">
        <x:f>IF(H9-0&gt;0.000001,1,0)</x:f>
        <x:v>1</x:v>
      </x:c>
      <x:c r="AW9" s="44" t="n">
        <x:f>0+IF(AV9=1,MIN(H9,AT$12*AU9/MAX(0.000001,SUMPRODUCT(AU$5:AU$10,AV$5:AV$10))),0)</x:f>
        <x:v>2721.1682945520233</x:v>
      </x:c>
      <x:c r="AX9" s="44" t="n">
        <x:f>IF(H9-AW9&gt;0.000001,1,0)</x:f>
        <x:v>1</x:v>
      </x:c>
      <x:c r="AY9" s="44" t="n">
        <x:f>AW9+IF(AX9=1,MIN(MAX(0,H9-AW9),MAX(0,AT$12-SUM(AW$5:AW$10))*AU9/MAX(0.000001,SUMPRODUCT(AU$5:AU$10,AX$5:AX$10))),0)</x:f>
        <x:v>2721.168294552024</x:v>
      </x:c>
      <x:c r="AZ9" s="44" t="n">
        <x:f>IF(H9-AY9&gt;0.000001,1,0)</x:f>
        <x:v>1</x:v>
      </x:c>
      <x:c r="BA9" s="44" t="n">
        <x:f>AY9+IF(AZ9=1,MIN(MAX(0,H9-AY9),MAX(0,AT$12-SUM(AY$5:AY$10))*AU9/MAX(0.000001,SUMPRODUCT(AU$5:AU$10,AZ$5:AZ$10))),0)</x:f>
        <x:v>2721.168294552024</x:v>
      </x:c>
      <x:c r="BB9" s="44" t="n">
        <x:f>IF(H9-BA9&gt;0.000001,1,0)</x:f>
        <x:v>1</x:v>
      </x:c>
      <x:c r="BC9" s="44" t="n">
        <x:f>BA9+IF(BB9=1,MIN(MAX(0,H9-BA9),MAX(0,AT$12-SUM(BA$5:BA$10))*AU9/MAX(0.000001,SUMPRODUCT(AU$5:AU$10,BB$5:BB$10))),0)</x:f>
        <x:v>2721.168294552024</x:v>
      </x:c>
      <x:c r="BD9" s="44" t="n">
        <x:f>IF(H9-BC9&gt;0.000001,1,0)</x:f>
        <x:v>1</x:v>
      </x:c>
      <x:c r="BE9" s="44" t="n">
        <x:f>BC9+IF(BD9=1,MIN(MAX(0,H9-BC9),MAX(0,AT$12-SUM(BC$5:BC$10))*AU9/MAX(0.000001,SUMPRODUCT(AU$5:AU$10,BD$5:BD$10))),0)</x:f>
        <x:v>2721.168294552024</x:v>
      </x:c>
      <x:c r="BF9" s="44" t="n">
        <x:f>IF(H9-BE9&gt;0.000001,1,0)</x:f>
        <x:v>1</x:v>
      </x:c>
      <x:c r="BG9" s="44" t="n">
        <x:f>BE9+IF(BF9=1,MIN(MAX(0,H9-BE9),MAX(0,AT$12-SUM(BE$5:BE$10))*AU9/MAX(0.000001,SUMPRODUCT(AU$5:AU$10,BF$5:BF$10))),0)</x:f>
        <x:v>2721.168294552024</x:v>
      </x:c>
      <x:c r="BH9" s="44" t="n">
        <x:f>MAX(0.2,MIN(0.99,'口径映射'!$B$44+I$12-$F$31))</x:f>
        <x:v>0.9041558441558439</x:v>
      </x:c>
      <x:c r="BI9" s="44" t="n">
        <x:f>I9*BH9</x:f>
        <x:v>4882.441558441557</x:v>
      </x:c>
      <x:c r="BJ9" s="44" t="n">
        <x:f>IF(I9-0&gt;0.000001,1,0)</x:f>
        <x:v>1</x:v>
      </x:c>
      <x:c r="BK9" s="44" t="n">
        <x:f>0+IF(BJ9=1,MIN(I9,BH$12*BI9/MAX(0.000001,SUMPRODUCT(BI$5:BI$10,BJ$5:BJ$10))),0)</x:f>
        <x:v>4865.838559291645</x:v>
      </x:c>
      <x:c r="BL9" s="44" t="n">
        <x:f>IF(I9-BK9&gt;0.000001,1,0)</x:f>
        <x:v>1</x:v>
      </x:c>
      <x:c r="BM9" s="44" t="n">
        <x:f>BK9+IF(BL9=1,MIN(MAX(0,I9-BK9),MAX(0,BH$12-SUM(BK$5:BK$10))*BI9/MAX(0.000001,SUMPRODUCT(BI$5:BI$10,BL$5:BL$10))),0)</x:f>
        <x:v>4865.838559291645</x:v>
      </x:c>
      <x:c r="BN9" s="44" t="n">
        <x:f>IF(I9-BM9&gt;0.000001,1,0)</x:f>
        <x:v>1</x:v>
      </x:c>
      <x:c r="BO9" s="44" t="n">
        <x:f>BM9+IF(BN9=1,MIN(MAX(0,I9-BM9),MAX(0,BH$12-SUM(BM$5:BM$10))*BI9/MAX(0.000001,SUMPRODUCT(BI$5:BI$10,BN$5:BN$10))),0)</x:f>
        <x:v>4865.838559291645</x:v>
      </x:c>
      <x:c r="BP9" s="44" t="n">
        <x:f>IF(I9-BO9&gt;0.000001,1,0)</x:f>
        <x:v>1</x:v>
      </x:c>
      <x:c r="BQ9" s="44" t="n">
        <x:f>BO9+IF(BP9=1,MIN(MAX(0,I9-BO9),MAX(0,BH$12-SUM(BO$5:BO$10))*BI9/MAX(0.000001,SUMPRODUCT(BI$5:BI$10,BP$5:BP$10))),0)</x:f>
        <x:v>4865.838559291645</x:v>
      </x:c>
      <x:c r="BR9" s="44" t="n">
        <x:f>IF(I9-BQ9&gt;0.000001,1,0)</x:f>
        <x:v>1</x:v>
      </x:c>
      <x:c r="BS9" s="44" t="n">
        <x:f>BQ9+IF(BR9=1,MIN(MAX(0,I9-BQ9),MAX(0,BH$12-SUM(BQ$5:BQ$10))*BI9/MAX(0.000001,SUMPRODUCT(BI$5:BI$10,BR$5:BR$10))),0)</x:f>
        <x:v>4865.838559291645</x:v>
      </x:c>
      <x:c r="BT9" s="44" t="n">
        <x:f>IF(I9-BS9&gt;0.000001,1,0)</x:f>
        <x:v>1</x:v>
      </x:c>
      <x:c r="BU9" s="44" t="n">
        <x:f>BS9+IF(BT9=1,MIN(MAX(0,I9-BS9),MAX(0,BH$12-SUM(BS$5:BS$10))*BI9/MAX(0.000001,SUMPRODUCT(BI$5:BI$10,BT$5:BT$10))),0)</x:f>
        <x:v>4865.838559291645</x:v>
      </x:c>
      <x:c r="BV9" s="44" t="n">
        <x:f>MAX(0.2,MIN(0.99,'口径映射'!$B$44+J$12-$F$31))</x:f>
        <x:v>0.924155844155844</x:v>
      </x:c>
      <x:c r="BW9" s="44" t="n">
        <x:f>J9*BV9</x:f>
        <x:v>8317.402597402595</x:v>
      </x:c>
      <x:c r="BX9" s="44" t="n">
        <x:f>IF(J9-0&gt;0.000001,1,0)</x:f>
        <x:v>1</x:v>
      </x:c>
      <x:c r="BY9" s="44" t="n">
        <x:f>0+IF(BX9=1,MIN(J9,BV$12*BW9/MAX(0.000001,SUMPRODUCT(BW$5:BW$10,BX$5:BX$10))),0)</x:f>
        <x:v>8333.948472900627</x:v>
      </x:c>
      <x:c r="BZ9" s="44" t="n">
        <x:f>IF(J9-BY9&gt;0.000001,1,0)</x:f>
        <x:v>1</x:v>
      </x:c>
      <x:c r="CA9" s="44" t="n">
        <x:f>BY9+IF(BZ9=1,MIN(MAX(0,J9-BY9),MAX(0,BV$12-SUM(BY$5:BY$10))*BW9/MAX(0.000001,SUMPRODUCT(BW$5:BW$10,BZ$5:BZ$10))),0)</x:f>
        <x:v>8333.948472900629</x:v>
      </x:c>
      <x:c r="CB9" s="44" t="n">
        <x:f>IF(J9-CA9&gt;0.000001,1,0)</x:f>
        <x:v>1</x:v>
      </x:c>
      <x:c r="CC9" s="44" t="n">
        <x:f>CA9+IF(CB9=1,MIN(MAX(0,J9-CA9),MAX(0,BV$12-SUM(CA$5:CA$10))*BW9/MAX(0.000001,SUMPRODUCT(BW$5:BW$10,CB$5:CB$10))),0)</x:f>
        <x:v>8333.948472900629</x:v>
      </x:c>
      <x:c r="CD9" s="44" t="n">
        <x:f>IF(J9-CC9&gt;0.000001,1,0)</x:f>
        <x:v>1</x:v>
      </x:c>
      <x:c r="CE9" s="44" t="n">
        <x:f>CC9+IF(CD9=1,MIN(MAX(0,J9-CC9),MAX(0,BV$12-SUM(CC$5:CC$10))*BW9/MAX(0.000001,SUMPRODUCT(BW$5:BW$10,CD$5:CD$10))),0)</x:f>
        <x:v>8333.948472900629</x:v>
      </x:c>
      <x:c r="CF9" s="44" t="n">
        <x:f>IF(J9-CE9&gt;0.000001,1,0)</x:f>
        <x:v>1</x:v>
      </x:c>
      <x:c r="CG9" s="44" t="n">
        <x:f>CE9+IF(CF9=1,MIN(MAX(0,J9-CE9),MAX(0,BV$12-SUM(CE$5:CE$10))*BW9/MAX(0.000001,SUMPRODUCT(BW$5:BW$10,CF$5:CF$10))),0)</x:f>
        <x:v>8333.948472900629</x:v>
      </x:c>
      <x:c r="CH9" s="44" t="n">
        <x:f>IF(J9-CG9&gt;0.000001,1,0)</x:f>
        <x:v>1</x:v>
      </x:c>
      <x:c r="CI9" s="44" t="n">
        <x:f>CG9+IF(CH9=1,MIN(MAX(0,J9-CG9),MAX(0,BV$12-SUM(CG$5:CG$10))*BW9/MAX(0.000001,SUMPRODUCT(BW$5:BW$10,CH$5:CH$10))),0)</x:f>
        <x:v>8333.948472900629</x:v>
      </x:c>
    </x:row>
    <x:row r="10" ht="15" hidden="0" customHeight="1">
      <x:c r="A10" s="16" t="str">
        <x:v>嵌入式AI增量收入</x:v>
      </x:c>
      <x:c r="B10" s="40" t="n">
        <x:f>B29</x:f>
        <x:v>20</x:v>
      </x:c>
      <x:c r="C10" s="40" t="n">
        <x:f>C29</x:f>
        <x:v>40</x:v>
      </x:c>
      <x:c r="D10" s="40" t="n">
        <x:f>D29</x:f>
        <x:v>100</x:v>
      </x:c>
      <x:c r="E10" s="40" t="n">
        <x:f>E29</x:f>
        <x:v>360</x:v>
      </x:c>
      <x:c r="F10" s="40" t="n">
        <x:f>F29*'模型参数'!$B$25</x:f>
        <x:v>510</x:v>
      </x:c>
      <x:c r="G10" s="40" t="n">
        <x:f>G29*'Token量价利'!C$18^$K10*('工作流ROI'!$C$28/0.2695)^$L10*'模型参数'!$B$25</x:f>
        <x:v>1150</x:v>
      </x:c>
      <x:c r="H10" s="40" t="n">
        <x:f>H29*'Token量价利'!D$18^$K10*('工作流ROI'!$C$29/0.3699)^$L10*'模型参数'!$B$25</x:f>
        <x:v>2050</x:v>
      </x:c>
      <x:c r="I10" s="40" t="n">
        <x:f>I29*'Token量价利'!E$18^$K10*('工作流ROI'!$C$30/0.4656)^$L10*'模型参数'!$B$25</x:f>
        <x:v>3800</x:v>
      </x:c>
      <x:c r="J10" s="40" t="n">
        <x:f>J29*'Token量价利'!F$18^$K10*('工作流ROI'!$C$31/0.55)^$L10*'模型参数'!$B$25</x:f>
        <x:v>6500</x:v>
      </x:c>
      <x:c r="K10" s="68" t="n">
        <x:v>0.15</x:v>
      </x:c>
      <x:c r="L10" s="68" t="n">
        <x:v>0.85</x:v>
      </x:c>
      <x:c r="M10" s="92"/>
      <x:c r="N10" s="95" t="n">
        <x:v>2027</x:v>
      </x:c>
      <x:c r="O10" s="95" t="n">
        <x:f>G11</x:f>
        <x:v>9256.164643601061</x:v>
      </x:c>
      <x:c r="P10" s="95" t="n">
        <x:f>G13</x:f>
        <x:v>7590.055007752871</x:v>
      </x:c>
      <x:c r="Q10" s="95" t="n">
        <x:f>G15</x:f>
        <x:v>4091.7735587818106</x:v>
      </x:c>
      <x:c r="R10" s="44" t="n">
        <x:f>MAX(0.2,MIN(0.99,'口径映射'!$B$45+F$12-$F$31))</x:f>
        <x:v>0.9411764705882353</x:v>
      </x:c>
      <x:c r="S10" s="44" t="n">
        <x:f>F10*R10</x:f>
        <x:v>480</x:v>
      </x:c>
      <x:c r="T10" s="44" t="n">
        <x:f>IF(F10-0&gt;0.000001,1,0)</x:f>
        <x:v>1</x:v>
      </x:c>
      <x:c r="U10" s="44" t="n">
        <x:f>0+IF(T10=1,MIN(F10,R$12*S10/MAX(0.000001,SUMPRODUCT(S$5:S$10,T$5:T$10))),0)</x:f>
        <x:v>479.18052425329245</x:v>
      </x:c>
      <x:c r="V10" s="44" t="n">
        <x:f>IF(F10-U10&gt;0.000001,1,0)</x:f>
        <x:v>1</x:v>
      </x:c>
      <x:c r="W10" s="44" t="n">
        <x:f>U10+IF(V10=1,MIN(MAX(0,F10-U10),MAX(0,R$12-SUM(U$5:U$10))*S10/MAX(0.000001,SUMPRODUCT(S$5:S$10,V$5:V$10))),0)</x:f>
        <x:v>479.18052425329245</x:v>
      </x:c>
      <x:c r="X10" s="44" t="n">
        <x:f>IF(F10-W10&gt;0.000001,1,0)</x:f>
        <x:v>1</x:v>
      </x:c>
      <x:c r="Y10" s="44" t="n">
        <x:f>W10+IF(X10=1,MIN(MAX(0,F10-W10),MAX(0,R$12-SUM(W$5:W$10))*S10/MAX(0.000001,SUMPRODUCT(S$5:S$10,X$5:X$10))),0)</x:f>
        <x:v>479.18052425329245</x:v>
      </x:c>
      <x:c r="Z10" s="44" t="n">
        <x:f>IF(F10-Y10&gt;0.000001,1,0)</x:f>
        <x:v>1</x:v>
      </x:c>
      <x:c r="AA10" s="44" t="n">
        <x:f>Y10+IF(Z10=1,MIN(MAX(0,F10-Y10),MAX(0,R$12-SUM(Y$5:Y$10))*S10/MAX(0.000001,SUMPRODUCT(S$5:S$10,Z$5:Z$10))),0)</x:f>
        <x:v>479.18052425329245</x:v>
      </x:c>
      <x:c r="AB10" s="44" t="n">
        <x:f>IF(F10-AA10&gt;0.000001,1,0)</x:f>
        <x:v>1</x:v>
      </x:c>
      <x:c r="AC10" s="44" t="n">
        <x:f>AA10+IF(AB10=1,MIN(MAX(0,F10-AA10),MAX(0,R$12-SUM(AA$5:AA$10))*S10/MAX(0.000001,SUMPRODUCT(S$5:S$10,AB$5:AB$10))),0)</x:f>
        <x:v>479.18052425329245</x:v>
      </x:c>
      <x:c r="AD10" s="44" t="n">
        <x:f>IF(F10-AC10&gt;0.000001,1,0)</x:f>
        <x:v>1</x:v>
      </x:c>
      <x:c r="AE10" s="44" t="n">
        <x:f>AC10+IF(AD10=1,MIN(MAX(0,F10-AC10),MAX(0,R$12-SUM(AC$5:AC$10))*S10/MAX(0.000001,SUMPRODUCT(S$5:S$10,AD$5:AD$10))),0)</x:f>
        <x:v>479.18052425329245</x:v>
      </x:c>
      <x:c r="AF10" s="44" t="n">
        <x:f>MAX(0.2,MIN(0.99,'口径映射'!$B$45+G$12-$F$31))</x:f>
        <x:v>0.9611764705882353</x:v>
      </x:c>
      <x:c r="AG10" s="44" t="n">
        <x:f>G10*AF10</x:f>
        <x:v>1105.3529411764705</x:v>
      </x:c>
      <x:c r="AH10" s="44" t="n">
        <x:f>IF(G10-0&gt;0.000001,1,0)</x:f>
        <x:v>1</x:v>
      </x:c>
      <x:c r="AI10" s="44" t="n">
        <x:f>0+IF(AH10=1,MIN(G10,AF$12*AG10/MAX(0.000001,SUMPRODUCT(AG$5:AG$10,AH$5:AH$10))),0)</x:f>
        <x:v>1098.8051086948417</x:v>
      </x:c>
      <x:c r="AJ10" s="44" t="n">
        <x:f>IF(G10-AI10&gt;0.000001,1,0)</x:f>
        <x:v>1</x:v>
      </x:c>
      <x:c r="AK10" s="44" t="n">
        <x:f>AI10+IF(AJ10=1,MIN(MAX(0,G10-AI10),MAX(0,AF$12-SUM(AI$5:AI$10))*AG10/MAX(0.000001,SUMPRODUCT(AG$5:AG$10,AJ$5:AJ$10))),0)</x:f>
        <x:v>1098.8051086948417</x:v>
      </x:c>
      <x:c r="AL10" s="44" t="n">
        <x:f>IF(G10-AK10&gt;0.000001,1,0)</x:f>
        <x:v>1</x:v>
      </x:c>
      <x:c r="AM10" s="44" t="n">
        <x:f>AK10+IF(AL10=1,MIN(MAX(0,G10-AK10),MAX(0,AF$12-SUM(AK$5:AK$10))*AG10/MAX(0.000001,SUMPRODUCT(AG$5:AG$10,AL$5:AL$10))),0)</x:f>
        <x:v>1098.8051086948417</x:v>
      </x:c>
      <x:c r="AN10" s="44" t="n">
        <x:f>IF(G10-AM10&gt;0.000001,1,0)</x:f>
        <x:v>1</x:v>
      </x:c>
      <x:c r="AO10" s="44" t="n">
        <x:f>AM10+IF(AN10=1,MIN(MAX(0,G10-AM10),MAX(0,AF$12-SUM(AM$5:AM$10))*AG10/MAX(0.000001,SUMPRODUCT(AG$5:AG$10,AN$5:AN$10))),0)</x:f>
        <x:v>1098.8051086948417</x:v>
      </x:c>
      <x:c r="AP10" s="44" t="n">
        <x:f>IF(G10-AO10&gt;0.000001,1,0)</x:f>
        <x:v>1</x:v>
      </x:c>
      <x:c r="AQ10" s="44" t="n">
        <x:f>AO10+IF(AP10=1,MIN(MAX(0,G10-AO10),MAX(0,AF$12-SUM(AO$5:AO$10))*AG10/MAX(0.000001,SUMPRODUCT(AG$5:AG$10,AP$5:AP$10))),0)</x:f>
        <x:v>1098.8051086948417</x:v>
      </x:c>
      <x:c r="AR10" s="44" t="n">
        <x:f>IF(G10-AQ10&gt;0.000001,1,0)</x:f>
        <x:v>1</x:v>
      </x:c>
      <x:c r="AS10" s="44" t="n">
        <x:f>AQ10+IF(AR10=1,MIN(MAX(0,G10-AQ10),MAX(0,AF$12-SUM(AQ$5:AQ$10))*AG10/MAX(0.000001,SUMPRODUCT(AG$5:AG$10,AR$5:AR$10))),0)</x:f>
        <x:v>1098.8051086948417</x:v>
      </x:c>
      <x:c r="AT10" s="44" t="n">
        <x:f>MAX(0.2,MIN(0.99,'口径映射'!$B$45+H$12-$F$31))</x:f>
        <x:v>0.9811764705882353</x:v>
      </x:c>
      <x:c r="AU10" s="44" t="n">
        <x:f>H10*AT10</x:f>
        <x:v>2011.4117647058824</x:v>
      </x:c>
      <x:c r="AV10" s="44" t="n">
        <x:f>IF(H10-0&gt;0.000001,1,0)</x:f>
        <x:v>1</x:v>
      </x:c>
      <x:c r="AW10" s="44" t="n">
        <x:f>0+IF(AV10=1,MIN(H10,AT$12*AU10/MAX(0.000001,SUMPRODUCT(AU$5:AU$10,AV$5:AV$10))),0)</x:f>
        <x:v>1996.9439366793663</x:v>
      </x:c>
      <x:c r="AX10" s="44" t="n">
        <x:f>IF(H10-AW10&gt;0.000001,1,0)</x:f>
        <x:v>1</x:v>
      </x:c>
      <x:c r="AY10" s="44" t="n">
        <x:f>AW10+IF(AX10=1,MIN(MAX(0,H10-AW10),MAX(0,AT$12-SUM(AW$5:AW$10))*AU10/MAX(0.000001,SUMPRODUCT(AU$5:AU$10,AX$5:AX$10))),0)</x:f>
        <x:v>1996.9439366793665</x:v>
      </x:c>
      <x:c r="AZ10" s="44" t="n">
        <x:f>IF(H10-AY10&gt;0.000001,1,0)</x:f>
        <x:v>1</x:v>
      </x:c>
      <x:c r="BA10" s="44" t="n">
        <x:f>AY10+IF(AZ10=1,MIN(MAX(0,H10-AY10),MAX(0,AT$12-SUM(AY$5:AY$10))*AU10/MAX(0.000001,SUMPRODUCT(AU$5:AU$10,AZ$5:AZ$10))),0)</x:f>
        <x:v>1996.9439366793665</x:v>
      </x:c>
      <x:c r="BB10" s="44" t="n">
        <x:f>IF(H10-BA10&gt;0.000001,1,0)</x:f>
        <x:v>1</x:v>
      </x:c>
      <x:c r="BC10" s="44" t="n">
        <x:f>BA10+IF(BB10=1,MIN(MAX(0,H10-BA10),MAX(0,AT$12-SUM(BA$5:BA$10))*AU10/MAX(0.000001,SUMPRODUCT(AU$5:AU$10,BB$5:BB$10))),0)</x:f>
        <x:v>1996.9439366793665</x:v>
      </x:c>
      <x:c r="BD10" s="44" t="n">
        <x:f>IF(H10-BC10&gt;0.000001,1,0)</x:f>
        <x:v>1</x:v>
      </x:c>
      <x:c r="BE10" s="44" t="n">
        <x:f>BC10+IF(BD10=1,MIN(MAX(0,H10-BC10),MAX(0,AT$12-SUM(BC$5:BC$10))*AU10/MAX(0.000001,SUMPRODUCT(AU$5:AU$10,BD$5:BD$10))),0)</x:f>
        <x:v>1996.9439366793665</x:v>
      </x:c>
      <x:c r="BF10" s="44" t="n">
        <x:f>IF(H10-BE10&gt;0.000001,1,0)</x:f>
        <x:v>1</x:v>
      </x:c>
      <x:c r="BG10" s="44" t="n">
        <x:f>BE10+IF(BF10=1,MIN(MAX(0,H10-BE10),MAX(0,AT$12-SUM(BE$5:BE$10))*AU10/MAX(0.000001,SUMPRODUCT(AU$5:AU$10,BF$5:BF$10))),0)</x:f>
        <x:v>1996.9439366793665</x:v>
      </x:c>
      <x:c r="BH10" s="44" t="n">
        <x:f>MAX(0.2,MIN(0.99,'口径映射'!$B$45+I$12-$F$31))</x:f>
        <x:v>0.99</x:v>
      </x:c>
      <x:c r="BI10" s="44" t="n">
        <x:f>I10*BH10</x:f>
        <x:v>3762</x:v>
      </x:c>
      <x:c r="BJ10" s="44" t="n">
        <x:f>IF(I10-0&gt;0.000001,1,0)</x:f>
        <x:v>1</x:v>
      </x:c>
      <x:c r="BK10" s="44" t="n">
        <x:f>0+IF(BJ10=1,MIN(I10,BH$12*BI10/MAX(0.000001,SUMPRODUCT(BI$5:BI$10,BJ$5:BJ$10))),0)</x:f>
        <x:v>3749.2071212621113</x:v>
      </x:c>
      <x:c r="BL10" s="44" t="n">
        <x:f>IF(I10-BK10&gt;0.000001,1,0)</x:f>
        <x:v>1</x:v>
      </x:c>
      <x:c r="BM10" s="44" t="n">
        <x:f>BK10+IF(BL10=1,MIN(MAX(0,I10-BK10),MAX(0,BH$12-SUM(BK$5:BK$10))*BI10/MAX(0.000001,SUMPRODUCT(BI$5:BI$10,BL$5:BL$10))),0)</x:f>
        <x:v>3749.2071212621113</x:v>
      </x:c>
      <x:c r="BN10" s="44" t="n">
        <x:f>IF(I10-BM10&gt;0.000001,1,0)</x:f>
        <x:v>1</x:v>
      </x:c>
      <x:c r="BO10" s="44" t="n">
        <x:f>BM10+IF(BN10=1,MIN(MAX(0,I10-BM10),MAX(0,BH$12-SUM(BM$5:BM$10))*BI10/MAX(0.000001,SUMPRODUCT(BI$5:BI$10,BN$5:BN$10))),0)</x:f>
        <x:v>3749.2071212621113</x:v>
      </x:c>
      <x:c r="BP10" s="44" t="n">
        <x:f>IF(I10-BO10&gt;0.000001,1,0)</x:f>
        <x:v>1</x:v>
      </x:c>
      <x:c r="BQ10" s="44" t="n">
        <x:f>BO10+IF(BP10=1,MIN(MAX(0,I10-BO10),MAX(0,BH$12-SUM(BO$5:BO$10))*BI10/MAX(0.000001,SUMPRODUCT(BI$5:BI$10,BP$5:BP$10))),0)</x:f>
        <x:v>3749.2071212621113</x:v>
      </x:c>
      <x:c r="BR10" s="44" t="n">
        <x:f>IF(I10-BQ10&gt;0.000001,1,0)</x:f>
        <x:v>1</x:v>
      </x:c>
      <x:c r="BS10" s="44" t="n">
        <x:f>BQ10+IF(BR10=1,MIN(MAX(0,I10-BQ10),MAX(0,BH$12-SUM(BQ$5:BQ$10))*BI10/MAX(0.000001,SUMPRODUCT(BI$5:BI$10,BR$5:BR$10))),0)</x:f>
        <x:v>3749.2071212621113</x:v>
      </x:c>
      <x:c r="BT10" s="44" t="n">
        <x:f>IF(I10-BS10&gt;0.000001,1,0)</x:f>
        <x:v>1</x:v>
      </x:c>
      <x:c r="BU10" s="44" t="n">
        <x:f>BS10+IF(BT10=1,MIN(MAX(0,I10-BS10),MAX(0,BH$12-SUM(BS$5:BS$10))*BI10/MAX(0.000001,SUMPRODUCT(BI$5:BI$10,BT$5:BT$10))),0)</x:f>
        <x:v>3749.2071212621113</x:v>
      </x:c>
      <x:c r="BV10" s="44" t="n">
        <x:f>MAX(0.2,MIN(0.99,'口径映射'!$B$45+J$12-$F$31))</x:f>
        <x:v>0.99</x:v>
      </x:c>
      <x:c r="BW10" s="44" t="n">
        <x:f>J10*BV10</x:f>
        <x:v>6435</x:v>
      </x:c>
      <x:c r="BX10" s="44" t="n">
        <x:f>IF(J10-0&gt;0.000001,1,0)</x:f>
        <x:v>1</x:v>
      </x:c>
      <x:c r="BY10" s="44" t="n">
        <x:f>0+IF(BX10=1,MIN(J10,BV$12*BW10/MAX(0.000001,SUMPRODUCT(BW$5:BW$10,BX$5:BX$10))),0)</x:f>
        <x:v>6447.80119695818</x:v>
      </x:c>
      <x:c r="BZ10" s="44" t="n">
        <x:f>IF(J10-BY10&gt;0.000001,1,0)</x:f>
        <x:v>1</x:v>
      </x:c>
      <x:c r="CA10" s="44" t="n">
        <x:f>BY10+IF(BZ10=1,MIN(MAX(0,J10-BY10),MAX(0,BV$12-SUM(BY$5:BY$10))*BW10/MAX(0.000001,SUMPRODUCT(BW$5:BW$10,BZ$5:BZ$10))),0)</x:f>
        <x:v>6447.801196958181</x:v>
      </x:c>
      <x:c r="CB10" s="44" t="n">
        <x:f>IF(J10-CA10&gt;0.000001,1,0)</x:f>
        <x:v>1</x:v>
      </x:c>
      <x:c r="CC10" s="44" t="n">
        <x:f>CA10+IF(CB10=1,MIN(MAX(0,J10-CA10),MAX(0,BV$12-SUM(CA$5:CA$10))*BW10/MAX(0.000001,SUMPRODUCT(BW$5:BW$10,CB$5:CB$10))),0)</x:f>
        <x:v>6447.801196958181</x:v>
      </x:c>
      <x:c r="CD10" s="44" t="n">
        <x:f>IF(J10-CC10&gt;0.000001,1,0)</x:f>
        <x:v>1</x:v>
      </x:c>
      <x:c r="CE10" s="44" t="n">
        <x:f>CC10+IF(CD10=1,MIN(MAX(0,J10-CC10),MAX(0,BV$12-SUM(CC$5:CC$10))*BW10/MAX(0.000001,SUMPRODUCT(BW$5:BW$10,CD$5:CD$10))),0)</x:f>
        <x:v>6447.801196958181</x:v>
      </x:c>
      <x:c r="CF10" s="44" t="n">
        <x:f>IF(J10-CE10&gt;0.000001,1,0)</x:f>
        <x:v>1</x:v>
      </x:c>
      <x:c r="CG10" s="44" t="n">
        <x:f>CE10+IF(CF10=1,MIN(MAX(0,J10-CE10),MAX(0,BV$12-SUM(CE$5:CE$10))*BW10/MAX(0.000001,SUMPRODUCT(BW$5:BW$10,CF$5:CF$10))),0)</x:f>
        <x:v>6447.801196958181</x:v>
      </x:c>
      <x:c r="CH10" s="44" t="n">
        <x:f>IF(J10-CG10&gt;0.000001,1,0)</x:f>
        <x:v>1</x:v>
      </x:c>
      <x:c r="CI10" s="44" t="n">
        <x:f>CG10+IF(CH10=1,MIN(MAX(0,J10-CG10),MAX(0,BV$12-SUM(CG$5:CG$10))*BW10/MAX(0.000001,SUMPRODUCT(BW$5:BW$10,CH$5:CH$10))),0)</x:f>
        <x:v>6447.801196958181</x:v>
      </x:c>
    </x:row>
    <x:row r="11" ht="15" hidden="0" customHeight="1">
      <x:c r="A11" s="16" t="str">
        <x:v>生态系统总收入</x:v>
      </x:c>
      <x:c r="B11" s="40" t="n">
        <x:f>SUM(B5:B10)</x:f>
        <x:v>150</x:v>
      </x:c>
      <x:c r="C11" s="40" t="n">
        <x:f>SUM(C5:C10)</x:f>
        <x:v>350</x:v>
      </x:c>
      <x:c r="D11" s="40" t="n">
        <x:f>SUM(D5:D10)</x:f>
        <x:v>850</x:v>
      </x:c>
      <x:c r="E11" s="40" t="n">
        <x:f>SUM(E5:E10)</x:f>
        <x:v>2860</x:v>
      </x:c>
      <x:c r="F11" s="40" t="n">
        <x:f>SUM(F5:F10)</x:f>
        <x:v>3898.4590250175875</x:v>
      </x:c>
      <x:c r="G11" s="40" t="n">
        <x:f>SUM(G5:G10)</x:f>
        <x:v>9256.164643601061</x:v>
      </x:c>
      <x:c r="H11" s="40" t="n">
        <x:f>SUM(H5:H10)</x:f>
        <x:v>17827.302825125513</x:v>
      </x:c>
      <x:c r="I11" s="40" t="n">
        <x:f>SUM(I5:I10)</x:f>
        <x:v>31443.15974965534</x:v>
      </x:c>
      <x:c r="J11" s="40" t="n">
        <x:f>SUM(J5:J10)</x:f>
        <x:v>51238.341024211535</x:v>
      </x:c>
      <x:c r="K11" s="16"/>
      <x:c r="L11" s="16"/>
      <x:c r="M11" s="92"/>
      <x:c r="N11" s="95" t="n">
        <x:v>2028</x:v>
      </x:c>
      <x:c r="O11" s="95" t="n">
        <x:f>H11</x:f>
        <x:v>17827.302825125513</x:v>
      </x:c>
      <x:c r="P11" s="95" t="n">
        <x:f>H13</x:f>
        <x:v>14974.93437310543</x:v>
      </x:c>
      <x:c r="Q11" s="95" t="n">
        <x:f>H15</x:f>
        <x:v>8604.884862962199</x:v>
      </x:c>
      <x:c r="R11" s="44"/>
      <x:c r="S11" s="44"/>
      <x:c r="T11" s="44"/>
      <x:c r="U11" s="44"/>
      <x:c r="V11" s="44"/>
      <x:c r="W11" s="44"/>
      <x:c r="X11" s="44"/>
      <x:c r="Y11" s="44"/>
      <x:c r="Z11" s="44"/>
      <x:c r="AA11" s="44"/>
      <x:c r="AB11" s="44"/>
      <x:c r="AC11" s="44"/>
      <x:c r="AD11" s="44"/>
      <x:c r="AE11" s="44"/>
      <x:c r="AF11" s="44"/>
      <x:c r="AG11" s="44"/>
      <x:c r="AH11" s="44"/>
      <x:c r="AI11" s="44"/>
      <x:c r="AJ11" s="44"/>
      <x:c r="AK11" s="44"/>
      <x:c r="AL11" s="44"/>
      <x:c r="AM11" s="44"/>
      <x:c r="AN11" s="44"/>
      <x:c r="AO11" s="44"/>
      <x:c r="AP11" s="44"/>
      <x:c r="AQ11" s="44"/>
      <x:c r="AR11" s="44"/>
      <x:c r="AS11" s="44"/>
      <x:c r="AT11" s="44"/>
      <x:c r="AU11" s="44"/>
      <x:c r="AV11" s="44"/>
      <x:c r="AW11" s="44"/>
      <x:c r="AX11" s="44"/>
      <x:c r="AY11" s="44"/>
      <x:c r="AZ11" s="44"/>
      <x:c r="BA11" s="44"/>
      <x:c r="BB11" s="44"/>
      <x:c r="BC11" s="44"/>
      <x:c r="BD11" s="44"/>
      <x:c r="BE11" s="44"/>
      <x:c r="BF11" s="44"/>
      <x:c r="BG11" s="44"/>
      <x:c r="BH11" s="44"/>
      <x:c r="BI11" s="44"/>
      <x:c r="BJ11" s="44"/>
      <x:c r="BK11" s="44"/>
      <x:c r="BL11" s="44"/>
      <x:c r="BM11" s="44"/>
      <x:c r="BN11" s="44"/>
      <x:c r="BO11" s="44"/>
      <x:c r="BP11" s="44"/>
      <x:c r="BQ11" s="44"/>
      <x:c r="BR11" s="44"/>
      <x:c r="BS11" s="44"/>
      <x:c r="BT11" s="44"/>
      <x:c r="BU11" s="44"/>
      <x:c r="BV11" s="44"/>
      <x:c r="BW11" s="44"/>
      <x:c r="BX11" s="44"/>
      <x:c r="BY11" s="44"/>
      <x:c r="BZ11" s="44"/>
      <x:c r="CA11" s="44"/>
      <x:c r="CB11" s="44"/>
      <x:c r="CC11" s="44"/>
      <x:c r="CD11" s="44"/>
      <x:c r="CE11" s="44"/>
      <x:c r="CF11" s="44"/>
      <x:c r="CG11" s="44"/>
      <x:c r="CH11" s="44"/>
      <x:c r="CI11" s="44"/>
    </x:row>
    <x:row r="12" ht="15" hidden="0" customHeight="1">
      <x:c r="A12" s="16" t="str">
        <x:v>供应链去重后收入计入率</x:v>
      </x:c>
      <x:c r="B12" s="42" t="n">
        <x:f>B31</x:f>
        <x:v>0.45</x:v>
      </x:c>
      <x:c r="C12" s="42" t="n">
        <x:f>C31</x:f>
        <x:v>0.5</x:v>
      </x:c>
      <x:c r="D12" s="42" t="n">
        <x:f>D31</x:f>
        <x:v>0.58</x:v>
      </x:c>
      <x:c r="E12" s="42" t="n">
        <x:f>E31</x:f>
        <x:v>0.63</x:v>
      </x:c>
      <x:c r="F12" s="42" t="n">
        <x:f>MAX(0.45,MIN(0.94,F$31+('模型参数'!$B$16-$F$31)))</x:f>
        <x:v>0.8</x:v>
      </x:c>
      <x:c r="G12" s="42" t="n">
        <x:f>MAX(0.45,MIN(0.94,G$31+('模型参数'!$B$16-$F$31)))</x:f>
        <x:v>0.82</x:v>
      </x:c>
      <x:c r="H12" s="42" t="n">
        <x:f>MAX(0.45,MIN(0.94,H$31+('模型参数'!$B$16-$F$31)))</x:f>
        <x:v>0.84</x:v>
      </x:c>
      <x:c r="I12" s="42" t="n">
        <x:f>MAX(0.45,MIN(0.94,I$31+('模型参数'!$B$16-$F$31)))</x:f>
        <x:v>0.86</x:v>
      </x:c>
      <x:c r="J12" s="42" t="n">
        <x:f>MAX(0.45,MIN(0.94,J$31+('模型参数'!$B$16-$F$31)))</x:f>
        <x:v>0.88</x:v>
      </x:c>
      <x:c r="K12" s="16"/>
      <x:c r="L12" s="16"/>
      <x:c r="M12" s="92"/>
      <x:c r="N12" s="95" t="n">
        <x:v>2029</x:v>
      </x:c>
      <x:c r="O12" s="95" t="n">
        <x:f>I11</x:f>
        <x:v>31443.15974965534</x:v>
      </x:c>
      <x:c r="P12" s="95" t="n">
        <x:f>I13</x:f>
        <x:v>27041.117384703593</x:v>
      </x:c>
      <x:c r="Q12" s="95" t="n">
        <x:f>I15</x:f>
        <x:v>16361.947436779674</x:v>
      </x:c>
      <x:c r="R12" s="44" t="n">
        <x:f>F$11*F$12</x:f>
        <x:v>3118.76722001407</x:v>
      </x:c>
      <x:c r="S12" s="44"/>
      <x:c r="T12" s="44"/>
      <x:c r="U12" s="44"/>
      <x:c r="V12" s="44"/>
      <x:c r="W12" s="44"/>
      <x:c r="X12" s="44"/>
      <x:c r="Y12" s="44"/>
      <x:c r="Z12" s="44"/>
      <x:c r="AA12" s="44"/>
      <x:c r="AB12" s="44"/>
      <x:c r="AC12" s="44"/>
      <x:c r="AD12" s="44"/>
      <x:c r="AE12" s="44"/>
      <x:c r="AF12" s="44" t="n">
        <x:f>G$11*G$12</x:f>
        <x:v>7590.05500775287</x:v>
      </x:c>
      <x:c r="AG12" s="44"/>
      <x:c r="AH12" s="44"/>
      <x:c r="AI12" s="44"/>
      <x:c r="AJ12" s="44"/>
      <x:c r="AK12" s="44"/>
      <x:c r="AL12" s="44"/>
      <x:c r="AM12" s="44"/>
      <x:c r="AN12" s="44"/>
      <x:c r="AO12" s="44"/>
      <x:c r="AP12" s="44"/>
      <x:c r="AQ12" s="44"/>
      <x:c r="AR12" s="44"/>
      <x:c r="AS12" s="44"/>
      <x:c r="AT12" s="44" t="n">
        <x:f>H$11*H$12</x:f>
        <x:v>14974.93437310543</x:v>
      </x:c>
      <x:c r="AU12" s="44"/>
      <x:c r="AV12" s="44"/>
      <x:c r="AW12" s="44"/>
      <x:c r="AX12" s="44"/>
      <x:c r="AY12" s="44"/>
      <x:c r="AZ12" s="44"/>
      <x:c r="BA12" s="44"/>
      <x:c r="BB12" s="44"/>
      <x:c r="BC12" s="44"/>
      <x:c r="BD12" s="44"/>
      <x:c r="BE12" s="44"/>
      <x:c r="BF12" s="44"/>
      <x:c r="BG12" s="44"/>
      <x:c r="BH12" s="44" t="n">
        <x:f>I$11*I$12</x:f>
        <x:v>27041.117384703593</x:v>
      </x:c>
      <x:c r="BI12" s="44"/>
      <x:c r="BJ12" s="44"/>
      <x:c r="BK12" s="44"/>
      <x:c r="BL12" s="44"/>
      <x:c r="BM12" s="44"/>
      <x:c r="BN12" s="44"/>
      <x:c r="BO12" s="44"/>
      <x:c r="BP12" s="44"/>
      <x:c r="BQ12" s="44"/>
      <x:c r="BR12" s="44"/>
      <x:c r="BS12" s="44"/>
      <x:c r="BT12" s="44"/>
      <x:c r="BU12" s="44"/>
      <x:c r="BV12" s="44" t="n">
        <x:f>J$11*J$12</x:f>
        <x:v>45089.74010130615</x:v>
      </x:c>
      <x:c r="BW12" s="44"/>
      <x:c r="BX12" s="44"/>
      <x:c r="BY12" s="44"/>
      <x:c r="BZ12" s="44"/>
      <x:c r="CA12" s="44"/>
      <x:c r="CB12" s="44"/>
      <x:c r="CC12" s="44"/>
      <x:c r="CD12" s="44"/>
      <x:c r="CE12" s="44"/>
      <x:c r="CF12" s="44"/>
      <x:c r="CG12" s="44"/>
      <x:c r="CH12" s="44"/>
      <x:c r="CI12" s="44"/>
    </x:row>
    <x:row r="13" ht="15" hidden="0" customHeight="1">
      <x:c r="A13" s="16" t="str">
        <x:v>AI应用终端收入</x:v>
      </x:c>
      <x:c r="B13" s="40" t="n">
        <x:f>B63</x:f>
        <x:v>67.5</x:v>
      </x:c>
      <x:c r="C13" s="40" t="n">
        <x:f>C63</x:f>
        <x:v>175</x:v>
      </x:c>
      <x:c r="D13" s="40" t="n">
        <x:f>D63</x:f>
        <x:v>492.99999999999994</x:v>
      </x:c>
      <x:c r="E13" s="40" t="n">
        <x:f>E63</x:f>
        <x:v>1801.8</x:v>
      </x:c>
      <x:c r="F13" s="40" t="n">
        <x:f>F63</x:f>
        <x:v>3118.76722001407</x:v>
      </x:c>
      <x:c r="G13" s="40" t="n">
        <x:f>G63</x:f>
        <x:v>7590.055007752871</x:v>
      </x:c>
      <x:c r="H13" s="40" t="n">
        <x:f>H63</x:f>
        <x:v>14974.93437310543</x:v>
      </x:c>
      <x:c r="I13" s="40" t="n">
        <x:f>I63</x:f>
        <x:v>27041.117384703593</x:v>
      </x:c>
      <x:c r="J13" s="40" t="n">
        <x:f>J63</x:f>
        <x:v>45089.74010130615</x:v>
      </x:c>
      <x:c r="K13" s="16"/>
      <x:c r="L13" s="16"/>
      <x:c r="M13" s="92"/>
      <x:c r="N13" s="95" t="n">
        <x:v>2030</x:v>
      </x:c>
      <x:c r="O13" s="95" t="n">
        <x:f>J11</x:f>
        <x:v>51238.341024211535</x:v>
      </x:c>
      <x:c r="P13" s="95" t="n">
        <x:f>J13</x:f>
        <x:v>45089.74010130615</x:v>
      </x:c>
      <x:c r="Q13" s="95" t="n">
        <x:f>J15</x:f>
        <x:v>28453.31393061533</x:v>
      </x:c>
      <x:c r="R13" s="44" t="n">
        <x:f>SUM(AE$5:AE$10)</x:f>
        <x:v>3118.76722001407</x:v>
      </x:c>
      <x:c r="S13" s="44"/>
      <x:c r="T13" s="44"/>
      <x:c r="U13" s="44"/>
      <x:c r="V13" s="44"/>
      <x:c r="W13" s="44"/>
      <x:c r="X13" s="44"/>
      <x:c r="Y13" s="44"/>
      <x:c r="Z13" s="44"/>
      <x:c r="AA13" s="44"/>
      <x:c r="AB13" s="44"/>
      <x:c r="AC13" s="44"/>
      <x:c r="AD13" s="44"/>
      <x:c r="AE13" s="44"/>
      <x:c r="AF13" s="44" t="n">
        <x:f>SUM(AS$5:AS$10)</x:f>
        <x:v>7590.055007752871</x:v>
      </x:c>
      <x:c r="AG13" s="44"/>
      <x:c r="AH13" s="44"/>
      <x:c r="AI13" s="44"/>
      <x:c r="AJ13" s="44"/>
      <x:c r="AK13" s="44"/>
      <x:c r="AL13" s="44"/>
      <x:c r="AM13" s="44"/>
      <x:c r="AN13" s="44"/>
      <x:c r="AO13" s="44"/>
      <x:c r="AP13" s="44"/>
      <x:c r="AQ13" s="44"/>
      <x:c r="AR13" s="44"/>
      <x:c r="AS13" s="44"/>
      <x:c r="AT13" s="44" t="n">
        <x:f>SUM(BG$5:BG$10)</x:f>
        <x:v>14974.93437310543</x:v>
      </x:c>
      <x:c r="AU13" s="44"/>
      <x:c r="AV13" s="44"/>
      <x:c r="AW13" s="44"/>
      <x:c r="AX13" s="44"/>
      <x:c r="AY13" s="44"/>
      <x:c r="AZ13" s="44"/>
      <x:c r="BA13" s="44"/>
      <x:c r="BB13" s="44"/>
      <x:c r="BC13" s="44"/>
      <x:c r="BD13" s="44"/>
      <x:c r="BE13" s="44"/>
      <x:c r="BF13" s="44"/>
      <x:c r="BG13" s="44"/>
      <x:c r="BH13" s="44" t="n">
        <x:f>SUM(BU$5:BU$10)</x:f>
        <x:v>27041.117384703593</x:v>
      </x:c>
      <x:c r="BI13" s="44"/>
      <x:c r="BJ13" s="44"/>
      <x:c r="BK13" s="44"/>
      <x:c r="BL13" s="44"/>
      <x:c r="BM13" s="44"/>
      <x:c r="BN13" s="44"/>
      <x:c r="BO13" s="44"/>
      <x:c r="BP13" s="44"/>
      <x:c r="BQ13" s="44"/>
      <x:c r="BR13" s="44"/>
      <x:c r="BS13" s="44"/>
      <x:c r="BT13" s="44"/>
      <x:c r="BU13" s="44"/>
      <x:c r="BV13" s="44" t="n">
        <x:f>SUM(CI$5:CI$10)</x:f>
        <x:v>45089.74010130615</x:v>
      </x:c>
      <x:c r="BW13" s="44"/>
      <x:c r="BX13" s="44"/>
      <x:c r="BY13" s="44"/>
      <x:c r="BZ13" s="44"/>
      <x:c r="CA13" s="44"/>
      <x:c r="CB13" s="44"/>
      <x:c r="CC13" s="44"/>
      <x:c r="CD13" s="44"/>
      <x:c r="CE13" s="44"/>
      <x:c r="CF13" s="44"/>
      <x:c r="CG13" s="44"/>
      <x:c r="CH13" s="44"/>
      <x:c r="CI13" s="44"/>
    </x:row>
    <x:row r="14" ht="15" hidden="0" customHeight="1">
      <x:c r="A14" s="16" t="str">
        <x:v>AI应用加权毛利率</x:v>
      </x:c>
      <x:c r="B14" s="42" t="n">
        <x:f>B73</x:f>
        <x:v>0.43000000000000005</x:v>
      </x:c>
      <x:c r="C14" s="42" t="n">
        <x:f>C73</x:f>
        <x:v>0.4399999999999999</x:v>
      </x:c>
      <x:c r="D14" s="42" t="n">
        <x:f>D73</x:f>
        <x:v>0.47</x:v>
      </x:c>
      <x:c r="E14" s="42" t="n">
        <x:f>E73</x:f>
        <x:v>0.48000000000000004</x:v>
      </x:c>
      <x:c r="F14" s="42" t="n">
        <x:f>F73</x:f>
        <x:v>0.5</x:v>
      </x:c>
      <x:c r="G14" s="42" t="n">
        <x:f>G73</x:f>
        <x:v>0.5390966935815701</x:v>
      </x:c>
      <x:c r="H14" s="42" t="n">
        <x:f>H73</x:f>
        <x:v>0.5746192035683532</x:v>
      </x:c>
      <x:c r="I14" s="42" t="n">
        <x:f>I73</x:f>
        <x:v>0.6050766025680274</x:v>
      </x:c>
      <x:c r="J14" s="42" t="n">
        <x:f>J73</x:f>
        <x:v>0.6310374348285742</x:v>
      </x:c>
      <x:c r="K14" s="16"/>
      <x:c r="L14" s="16"/>
      <x:c r="M14" s="92"/>
      <x:c r="N14" s="92"/>
      <x:c r="O14" s="92"/>
      <x:c r="P14" s="92"/>
      <x:c r="Q14" s="92"/>
      <x:c r="R14" s="44"/>
      <x:c r="S14" s="44"/>
      <x:c r="T14" s="44"/>
      <x:c r="U14" s="44"/>
      <x:c r="V14" s="44"/>
      <x:c r="W14" s="44"/>
      <x:c r="X14" s="44"/>
      <x:c r="Y14" s="44"/>
      <x:c r="Z14" s="44"/>
      <x:c r="AA14" s="44"/>
      <x:c r="AB14" s="44"/>
      <x:c r="AC14" s="44"/>
      <x:c r="AD14" s="44"/>
      <x:c r="AE14" s="44"/>
      <x:c r="AF14" s="44"/>
      <x:c r="AG14" s="44"/>
      <x:c r="AH14" s="44"/>
      <x:c r="AI14" s="44"/>
      <x:c r="AJ14" s="44"/>
      <x:c r="AK14" s="44"/>
      <x:c r="AL14" s="44"/>
      <x:c r="AM14" s="44"/>
      <x:c r="AN14" s="44"/>
      <x:c r="AO14" s="44"/>
      <x:c r="AP14" s="44"/>
      <x:c r="AQ14" s="44"/>
      <x:c r="AR14" s="44"/>
      <x:c r="AS14" s="44"/>
      <x:c r="AT14" s="44"/>
      <x:c r="AU14" s="44"/>
      <x:c r="AV14" s="44"/>
      <x:c r="AW14" s="44"/>
      <x:c r="AX14" s="44"/>
      <x:c r="AY14" s="44"/>
      <x:c r="AZ14" s="44"/>
      <x:c r="BA14" s="44"/>
      <x:c r="BB14" s="44"/>
      <x:c r="BC14" s="44"/>
      <x:c r="BD14" s="44"/>
      <x:c r="BE14" s="44"/>
      <x:c r="BF14" s="44"/>
      <x:c r="BG14" s="44"/>
      <x:c r="BH14" s="44"/>
      <x:c r="BI14" s="44"/>
      <x:c r="BJ14" s="44"/>
      <x:c r="BK14" s="44"/>
      <x:c r="BL14" s="44"/>
      <x:c r="BM14" s="44"/>
      <x:c r="BN14" s="44"/>
      <x:c r="BO14" s="44"/>
      <x:c r="BP14" s="44"/>
      <x:c r="BQ14" s="44"/>
      <x:c r="BR14" s="44"/>
      <x:c r="BS14" s="44"/>
      <x:c r="BT14" s="44"/>
      <x:c r="BU14" s="44"/>
      <x:c r="BV14" s="44"/>
      <x:c r="BW14" s="44"/>
      <x:c r="BX14" s="44"/>
      <x:c r="BY14" s="44"/>
      <x:c r="BZ14" s="44"/>
      <x:c r="CA14" s="44"/>
      <x:c r="CB14" s="44"/>
      <x:c r="CC14" s="44"/>
      <x:c r="CD14" s="44"/>
      <x:c r="CE14" s="44"/>
      <x:c r="CF14" s="44"/>
      <x:c r="CG14" s="44"/>
      <x:c r="CH14" s="44"/>
      <x:c r="CI14" s="44"/>
    </x:row>
    <x:row r="15" ht="15" hidden="0" customHeight="1">
      <x:c r="A15" s="16" t="str">
        <x:v>AI应用毛利</x:v>
      </x:c>
      <x:c r="B15" s="40" t="n">
        <x:f>B83</x:f>
        <x:v>29.025000000000002</x:v>
      </x:c>
      <x:c r="C15" s="40" t="n">
        <x:f>C83</x:f>
        <x:v>76.99999999999999</x:v>
      </x:c>
      <x:c r="D15" s="40" t="n">
        <x:f>D83</x:f>
        <x:v>231.70999999999995</x:v>
      </x:c>
      <x:c r="E15" s="40" t="n">
        <x:f>E83</x:f>
        <x:v>864.864</x:v>
      </x:c>
      <x:c r="F15" s="40" t="n">
        <x:f>F83</x:f>
        <x:v>1559.383610007035</x:v>
      </x:c>
      <x:c r="G15" s="40" t="n">
        <x:f>G83</x:f>
        <x:v>4091.7735587818106</x:v>
      </x:c>
      <x:c r="H15" s="40" t="n">
        <x:f>H83</x:f>
        <x:v>8604.884862962199</x:v>
      </x:c>
      <x:c r="I15" s="40" t="n">
        <x:f>I83</x:f>
        <x:v>16361.947436779674</x:v>
      </x:c>
      <x:c r="J15" s="40" t="n">
        <x:f>J83</x:f>
        <x:v>28453.31393061533</x:v>
      </x:c>
      <x:c r="K15" s="16"/>
      <x:c r="L15" s="16"/>
      <x:c r="M15" s="92"/>
      <x:c r="N15" s="92"/>
      <x:c r="O15" s="92"/>
      <x:c r="P15" s="92"/>
      <x:c r="Q15" s="92"/>
      <x:c r="R15" s="44"/>
      <x:c r="S15" s="44"/>
      <x:c r="T15" s="44"/>
      <x:c r="U15" s="44"/>
      <x:c r="V15" s="44"/>
      <x:c r="W15" s="44"/>
      <x:c r="X15" s="44"/>
      <x:c r="Y15" s="44"/>
      <x:c r="Z15" s="44"/>
      <x:c r="AA15" s="44"/>
      <x:c r="AB15" s="44"/>
      <x:c r="AC15" s="44"/>
      <x:c r="AD15" s="44"/>
      <x:c r="AE15" s="44"/>
      <x:c r="AF15" s="44"/>
      <x:c r="AG15" s="44"/>
      <x:c r="AH15" s="44"/>
      <x:c r="AI15" s="44"/>
      <x:c r="AJ15" s="44"/>
      <x:c r="AK15" s="44"/>
      <x:c r="AL15" s="44"/>
      <x:c r="AM15" s="44"/>
      <x:c r="AN15" s="44"/>
      <x:c r="AO15" s="44"/>
      <x:c r="AP15" s="44"/>
      <x:c r="AQ15" s="44"/>
      <x:c r="AR15" s="44"/>
      <x:c r="AS15" s="44"/>
      <x:c r="AT15" s="44"/>
      <x:c r="AU15" s="44"/>
      <x:c r="AV15" s="44"/>
      <x:c r="AW15" s="44"/>
      <x:c r="AX15" s="44"/>
      <x:c r="AY15" s="44"/>
      <x:c r="AZ15" s="44"/>
      <x:c r="BA15" s="44"/>
      <x:c r="BB15" s="44"/>
      <x:c r="BC15" s="44"/>
      <x:c r="BD15" s="44"/>
      <x:c r="BE15" s="44"/>
      <x:c r="BF15" s="44"/>
      <x:c r="BG15" s="44"/>
      <x:c r="BH15" s="44"/>
      <x:c r="BI15" s="44"/>
      <x:c r="BJ15" s="44"/>
      <x:c r="BK15" s="44"/>
      <x:c r="BL15" s="44"/>
      <x:c r="BM15" s="44"/>
      <x:c r="BN15" s="44"/>
      <x:c r="BO15" s="44"/>
      <x:c r="BP15" s="44"/>
      <x:c r="BQ15" s="44"/>
      <x:c r="BR15" s="44"/>
      <x:c r="BS15" s="44"/>
      <x:c r="BT15" s="44"/>
      <x:c r="BU15" s="44"/>
      <x:c r="BV15" s="44"/>
      <x:c r="BW15" s="44"/>
      <x:c r="BX15" s="44"/>
      <x:c r="BY15" s="44"/>
      <x:c r="BZ15" s="44"/>
      <x:c r="CA15" s="44"/>
      <x:c r="CB15" s="44"/>
      <x:c r="CC15" s="44"/>
      <x:c r="CD15" s="44"/>
      <x:c r="CE15" s="44"/>
      <x:c r="CF15" s="44"/>
      <x:c r="CG15" s="44"/>
      <x:c r="CH15" s="44"/>
      <x:c r="CI15" s="44"/>
    </x:row>
    <x:row r="16" ht="15" hidden="0" customHeight="1">
      <x:c r="A16" s="16" t="str">
        <x:v>企业内部效率净值</x:v>
      </x:c>
      <x:c r="B16" s="40" t="n">
        <x:v>14</x:v>
      </x:c>
      <x:c r="C16" s="40" t="n">
        <x:v>42</x:v>
      </x:c>
      <x:c r="D16" s="40" t="n">
        <x:v>140</x:v>
      </x:c>
      <x:c r="E16" s="40" t="n">
        <x:v>360</x:v>
      </x:c>
      <x:c r="F16" s="40" t="n">
        <x:f>'工作流ROI'!I27</x:f>
        <x:v>834.9720000000002</x:v>
      </x:c>
      <x:c r="G16" s="40" t="n">
        <x:f>'工作流ROI'!I28</x:f>
        <x:v>1421.0703468</x:v>
      </x:c>
      <x:c r="H16" s="40" t="n">
        <x:f>'工作流ROI'!I29</x:f>
        <x:v>2137.6057439999995</x:v>
      </x:c>
      <x:c r="I16" s="40" t="n">
        <x:f>'工作流ROI'!I30</x:f>
        <x:v>2952.0378655500003</x:v>
      </x:c>
      <x:c r="J16" s="40" t="n">
        <x:f>'工作流ROI'!I31</x:f>
        <x:v>3840.2877995999997</x:v>
      </x:c>
      <x:c r="K16" s="16"/>
      <x:c r="L16" s="16"/>
      <x:c r="M16" s="92"/>
      <x:c r="N16" s="92"/>
      <x:c r="O16" s="92"/>
      <x:c r="P16" s="92"/>
      <x:c r="Q16" s="92"/>
      <x:c r="R16" s="44"/>
      <x:c r="S16" s="44"/>
      <x:c r="T16" s="44"/>
      <x:c r="U16" s="44"/>
      <x:c r="V16" s="44"/>
      <x:c r="W16" s="44"/>
      <x:c r="X16" s="44"/>
      <x:c r="Y16" s="44"/>
      <x:c r="Z16" s="44"/>
      <x:c r="AA16" s="44"/>
      <x:c r="AB16" s="44"/>
      <x:c r="AC16" s="44"/>
      <x:c r="AD16" s="44"/>
      <x:c r="AE16" s="44"/>
      <x:c r="AF16" s="44"/>
      <x:c r="AG16" s="44"/>
      <x:c r="AH16" s="44"/>
      <x:c r="AI16" s="44"/>
      <x:c r="AJ16" s="44"/>
      <x:c r="AK16" s="44"/>
      <x:c r="AL16" s="44"/>
      <x:c r="AM16" s="44"/>
      <x:c r="AN16" s="44"/>
      <x:c r="AO16" s="44"/>
      <x:c r="AP16" s="44"/>
      <x:c r="AQ16" s="44"/>
      <x:c r="AR16" s="44"/>
      <x:c r="AS16" s="44"/>
      <x:c r="AT16" s="44"/>
      <x:c r="AU16" s="44"/>
      <x:c r="AV16" s="44"/>
      <x:c r="AW16" s="44"/>
      <x:c r="AX16" s="44"/>
      <x:c r="AY16" s="44"/>
      <x:c r="AZ16" s="44"/>
      <x:c r="BA16" s="44"/>
      <x:c r="BB16" s="44"/>
      <x:c r="BC16" s="44"/>
      <x:c r="BD16" s="44"/>
      <x:c r="BE16" s="44"/>
      <x:c r="BF16" s="44"/>
      <x:c r="BG16" s="44"/>
      <x:c r="BH16" s="44"/>
      <x:c r="BI16" s="44"/>
      <x:c r="BJ16" s="44"/>
      <x:c r="BK16" s="44"/>
      <x:c r="BL16" s="44"/>
      <x:c r="BM16" s="44"/>
      <x:c r="BN16" s="44"/>
      <x:c r="BO16" s="44"/>
      <x:c r="BP16" s="44"/>
      <x:c r="BQ16" s="44"/>
      <x:c r="BR16" s="44"/>
      <x:c r="BS16" s="44"/>
      <x:c r="BT16" s="44"/>
      <x:c r="BU16" s="44"/>
      <x:c r="BV16" s="44"/>
      <x:c r="BW16" s="44"/>
      <x:c r="BX16" s="44"/>
      <x:c r="BY16" s="44"/>
      <x:c r="BZ16" s="44"/>
      <x:c r="CA16" s="44"/>
      <x:c r="CB16" s="44"/>
      <x:c r="CC16" s="44"/>
      <x:c r="CD16" s="44"/>
      <x:c r="CE16" s="44"/>
      <x:c r="CF16" s="44"/>
      <x:c r="CG16" s="44"/>
      <x:c r="CH16" s="44"/>
      <x:c r="CI16" s="44"/>
    </x:row>
    <x:row r="17" ht="15" hidden="0" customHeight="1">
      <x:c r="A17" s="16" t="str">
        <x:v>广义经济回报（贡献毛利＋效率净值）</x:v>
      </x:c>
      <x:c r="B17" s="40" t="n">
        <x:f>B15+B16</x:f>
        <x:v>43.025000000000006</x:v>
      </x:c>
      <x:c r="C17" s="40" t="n">
        <x:f>C15+C16</x:f>
        <x:v>118.99999999999999</x:v>
      </x:c>
      <x:c r="D17" s="40" t="n">
        <x:f>D15+D16</x:f>
        <x:v>371.7099999999999</x:v>
      </x:c>
      <x:c r="E17" s="40" t="n">
        <x:f>E15+E16</x:f>
        <x:v>1224.864</x:v>
      </x:c>
      <x:c r="F17" s="40" t="n">
        <x:f>F15+F16</x:f>
        <x:v>2394.3556100070355</x:v>
      </x:c>
      <x:c r="G17" s="40" t="n">
        <x:f>G15+G16</x:f>
        <x:v>5512.843905581811</x:v>
      </x:c>
      <x:c r="H17" s="40" t="n">
        <x:f>H15+H16</x:f>
        <x:v>10742.490606962197</x:v>
      </x:c>
      <x:c r="I17" s="40" t="n">
        <x:f>I15+I16</x:f>
        <x:v>19313.985302329675</x:v>
      </x:c>
      <x:c r="J17" s="40" t="n">
        <x:f>J15+J16</x:f>
        <x:v>32293.60173021533</x:v>
      </x:c>
      <x:c r="K17" s="16"/>
      <x:c r="L17" s="16"/>
      <x:c r="M17" s="92"/>
      <x:c r="N17" s="92"/>
      <x:c r="O17" s="92"/>
      <x:c r="P17" s="92"/>
      <x:c r="Q17" s="92"/>
      <x:c r="R17" s="44"/>
      <x:c r="S17" s="44"/>
      <x:c r="T17" s="44"/>
      <x:c r="U17" s="44"/>
      <x:c r="V17" s="44"/>
      <x:c r="W17" s="44"/>
      <x:c r="X17" s="44"/>
      <x:c r="Y17" s="44"/>
      <x:c r="Z17" s="44"/>
      <x:c r="AA17" s="44"/>
      <x:c r="AB17" s="44"/>
      <x:c r="AC17" s="44"/>
      <x:c r="AD17" s="44"/>
      <x:c r="AE17" s="44"/>
      <x:c r="AF17" s="44"/>
      <x:c r="AG17" s="44"/>
      <x:c r="AH17" s="44"/>
      <x:c r="AI17" s="44"/>
      <x:c r="AJ17" s="44"/>
      <x:c r="AK17" s="44"/>
      <x:c r="AL17" s="44"/>
      <x:c r="AM17" s="44"/>
      <x:c r="AN17" s="44"/>
      <x:c r="AO17" s="44"/>
      <x:c r="AP17" s="44"/>
      <x:c r="AQ17" s="44"/>
      <x:c r="AR17" s="44"/>
      <x:c r="AS17" s="44"/>
      <x:c r="AT17" s="44"/>
      <x:c r="AU17" s="44"/>
      <x:c r="AV17" s="44"/>
      <x:c r="AW17" s="44"/>
      <x:c r="AX17" s="44"/>
      <x:c r="AY17" s="44"/>
      <x:c r="AZ17" s="44"/>
      <x:c r="BA17" s="44"/>
      <x:c r="BB17" s="44"/>
      <x:c r="BC17" s="44"/>
      <x:c r="BD17" s="44"/>
      <x:c r="BE17" s="44"/>
      <x:c r="BF17" s="44"/>
      <x:c r="BG17" s="44"/>
      <x:c r="BH17" s="44"/>
      <x:c r="BI17" s="44"/>
      <x:c r="BJ17" s="44"/>
      <x:c r="BK17" s="44"/>
      <x:c r="BL17" s="44"/>
      <x:c r="BM17" s="44"/>
      <x:c r="BN17" s="44"/>
      <x:c r="BO17" s="44"/>
      <x:c r="BP17" s="44"/>
      <x:c r="BQ17" s="44"/>
      <x:c r="BR17" s="44"/>
      <x:c r="BS17" s="44"/>
      <x:c r="BT17" s="44"/>
      <x:c r="BU17" s="44"/>
      <x:c r="BV17" s="44"/>
      <x:c r="BW17" s="44"/>
      <x:c r="BX17" s="44"/>
      <x:c r="BY17" s="44"/>
      <x:c r="BZ17" s="44"/>
      <x:c r="CA17" s="44"/>
      <x:c r="CB17" s="44"/>
      <x:c r="CC17" s="44"/>
      <x:c r="CD17" s="44"/>
      <x:c r="CE17" s="44"/>
      <x:c r="CF17" s="44"/>
      <x:c r="CG17" s="44"/>
      <x:c r="CH17" s="44"/>
      <x:c r="CI17" s="44"/>
    </x:row>
    <x:row r="18" ht="15" hidden="0" customHeight="1">
      <x:c r="A18" s="92"/>
      <x:c r="B18" s="92"/>
      <x:c r="C18" s="92"/>
      <x:c r="D18" s="92"/>
      <x:c r="E18" s="92"/>
      <x:c r="F18" s="92"/>
      <x:c r="G18" s="92"/>
      <x:c r="H18" s="92"/>
      <x:c r="I18" s="92"/>
      <x:c r="J18" s="92"/>
      <x:c r="K18" s="92"/>
      <x:c r="L18" s="92"/>
      <x:c r="M18" s="92"/>
      <x:c r="N18" s="92"/>
      <x:c r="O18" s="92"/>
      <x:c r="P18" s="92"/>
      <x:c r="Q18" s="92"/>
      <x:c r="R18" s="44"/>
      <x:c r="S18" s="44"/>
      <x:c r="T18" s="44"/>
      <x:c r="U18" s="44"/>
      <x:c r="V18" s="44"/>
      <x:c r="W18" s="44"/>
      <x:c r="X18" s="44"/>
      <x:c r="Y18" s="44"/>
      <x:c r="Z18" s="44"/>
      <x:c r="AA18" s="44"/>
      <x:c r="AB18" s="44"/>
      <x:c r="AC18" s="44"/>
      <x:c r="AD18" s="44"/>
      <x:c r="AE18" s="44"/>
      <x:c r="AF18" s="44"/>
      <x:c r="AG18" s="44"/>
      <x:c r="AH18" s="44"/>
      <x:c r="AI18" s="44"/>
      <x:c r="AJ18" s="44"/>
      <x:c r="AK18" s="44"/>
      <x:c r="AL18" s="44"/>
      <x:c r="AM18" s="44"/>
      <x:c r="AN18" s="44"/>
      <x:c r="AO18" s="44"/>
      <x:c r="AP18" s="44"/>
      <x:c r="AQ18" s="44"/>
      <x:c r="AR18" s="44"/>
      <x:c r="AS18" s="44"/>
      <x:c r="AT18" s="44"/>
      <x:c r="AU18" s="44"/>
      <x:c r="AV18" s="44"/>
      <x:c r="AW18" s="44"/>
      <x:c r="AX18" s="44"/>
      <x:c r="AY18" s="44"/>
      <x:c r="AZ18" s="44"/>
      <x:c r="BA18" s="44"/>
      <x:c r="BB18" s="44"/>
      <x:c r="BC18" s="44"/>
      <x:c r="BD18" s="44"/>
      <x:c r="BE18" s="44"/>
      <x:c r="BF18" s="44"/>
      <x:c r="BG18" s="44"/>
      <x:c r="BH18" s="44"/>
      <x:c r="BI18" s="44"/>
      <x:c r="BJ18" s="44"/>
      <x:c r="BK18" s="44"/>
      <x:c r="BL18" s="44"/>
      <x:c r="BM18" s="44"/>
      <x:c r="BN18" s="44"/>
      <x:c r="BO18" s="44"/>
      <x:c r="BP18" s="44"/>
      <x:c r="BQ18" s="44"/>
      <x:c r="BR18" s="44"/>
      <x:c r="BS18" s="44"/>
      <x:c r="BT18" s="44"/>
      <x:c r="BU18" s="44"/>
      <x:c r="BV18" s="44"/>
      <x:c r="BW18" s="44"/>
      <x:c r="BX18" s="44"/>
      <x:c r="BY18" s="44"/>
      <x:c r="BZ18" s="44"/>
      <x:c r="CA18" s="44"/>
      <x:c r="CB18" s="44"/>
      <x:c r="CC18" s="44"/>
      <x:c r="CD18" s="44"/>
      <x:c r="CE18" s="44"/>
      <x:c r="CF18" s="44"/>
      <x:c r="CG18" s="44"/>
      <x:c r="CH18" s="44"/>
      <x:c r="CI18" s="44"/>
    </x:row>
    <x:row r="19" ht="15" hidden="0" customHeight="1">
      <x:c r="A19" s="92"/>
      <x:c r="B19" s="92"/>
      <x:c r="C19" s="92"/>
      <x:c r="D19" s="92"/>
      <x:c r="E19" s="92"/>
      <x:c r="F19" s="92"/>
      <x:c r="G19" s="92"/>
      <x:c r="H19" s="92"/>
      <x:c r="I19" s="92"/>
      <x:c r="J19" s="92"/>
      <x:c r="K19" s="92"/>
      <x:c r="L19" s="92"/>
      <x:c r="M19" s="92"/>
      <x:c r="N19" s="92"/>
      <x:c r="O19" s="92"/>
      <x:c r="P19" s="92"/>
      <x:c r="Q19" s="92"/>
      <x:c r="R19" s="44"/>
      <x:c r="S19" s="44"/>
      <x:c r="T19" s="44"/>
      <x:c r="U19" s="44"/>
      <x:c r="V19" s="44"/>
      <x:c r="W19" s="44"/>
      <x:c r="X19" s="44"/>
      <x:c r="Y19" s="44"/>
      <x:c r="Z19" s="44"/>
      <x:c r="AA19" s="44"/>
      <x:c r="AB19" s="44"/>
      <x:c r="AC19" s="44"/>
      <x:c r="AD19" s="44"/>
      <x:c r="AE19" s="44"/>
      <x:c r="AF19" s="44"/>
      <x:c r="AG19" s="44"/>
      <x:c r="AH19" s="44"/>
      <x:c r="AI19" s="44"/>
      <x:c r="AJ19" s="44"/>
      <x:c r="AK19" s="44"/>
      <x:c r="AL19" s="44"/>
      <x:c r="AM19" s="44"/>
      <x:c r="AN19" s="44"/>
      <x:c r="AO19" s="44"/>
      <x:c r="AP19" s="44"/>
      <x:c r="AQ19" s="44"/>
      <x:c r="AR19" s="44"/>
      <x:c r="AS19" s="44"/>
      <x:c r="AT19" s="44"/>
      <x:c r="AU19" s="44"/>
      <x:c r="AV19" s="44"/>
      <x:c r="AW19" s="44"/>
      <x:c r="AX19" s="44"/>
      <x:c r="AY19" s="44"/>
      <x:c r="AZ19" s="44"/>
      <x:c r="BA19" s="44"/>
      <x:c r="BB19" s="44"/>
      <x:c r="BC19" s="44"/>
      <x:c r="BD19" s="44"/>
      <x:c r="BE19" s="44"/>
      <x:c r="BF19" s="44"/>
      <x:c r="BG19" s="44"/>
      <x:c r="BH19" s="44"/>
      <x:c r="BI19" s="44"/>
      <x:c r="BJ19" s="44"/>
      <x:c r="BK19" s="44"/>
      <x:c r="BL19" s="44"/>
      <x:c r="BM19" s="44"/>
      <x:c r="BN19" s="44"/>
      <x:c r="BO19" s="44"/>
      <x:c r="BP19" s="44"/>
      <x:c r="BQ19" s="44"/>
      <x:c r="BR19" s="44"/>
      <x:c r="BS19" s="44"/>
      <x:c r="BT19" s="44"/>
      <x:c r="BU19" s="44"/>
      <x:c r="BV19" s="44"/>
      <x:c r="BW19" s="44"/>
      <x:c r="BX19" s="44"/>
      <x:c r="BY19" s="44"/>
      <x:c r="BZ19" s="44"/>
      <x:c r="CA19" s="44"/>
      <x:c r="CB19" s="44"/>
      <x:c r="CC19" s="44"/>
      <x:c r="CD19" s="44"/>
      <x:c r="CE19" s="44"/>
      <x:c r="CF19" s="44"/>
      <x:c r="CG19" s="44"/>
      <x:c r="CH19" s="44"/>
      <x:c r="CI19" s="44"/>
    </x:row>
    <x:row r="20" ht="15" hidden="0" customHeight="1">
      <x:c r="A20" s="92"/>
      <x:c r="B20" s="92"/>
      <x:c r="C20" s="92"/>
      <x:c r="D20" s="92"/>
      <x:c r="E20" s="92"/>
      <x:c r="F20" s="92"/>
      <x:c r="G20" s="92"/>
      <x:c r="H20" s="92"/>
      <x:c r="I20" s="92"/>
      <x:c r="J20" s="92"/>
      <x:c r="K20" s="92"/>
      <x:c r="L20" s="92"/>
      <x:c r="M20" s="92"/>
      <x:c r="N20" s="92"/>
      <x:c r="O20" s="92"/>
      <x:c r="P20" s="92"/>
      <x:c r="Q20" s="92"/>
      <x:c r="R20" s="44"/>
      <x:c r="S20" s="44"/>
      <x:c r="T20" s="44"/>
      <x:c r="U20" s="44"/>
      <x:c r="V20" s="44"/>
      <x:c r="W20" s="44"/>
      <x:c r="X20" s="44"/>
      <x:c r="Y20" s="44"/>
      <x:c r="Z20" s="44"/>
      <x:c r="AA20" s="44"/>
      <x:c r="AB20" s="44"/>
      <x:c r="AC20" s="44"/>
      <x:c r="AD20" s="44"/>
      <x:c r="AE20" s="44"/>
      <x:c r="AF20" s="44"/>
      <x:c r="AG20" s="44"/>
      <x:c r="AH20" s="44"/>
      <x:c r="AI20" s="44"/>
      <x:c r="AJ20" s="44"/>
      <x:c r="AK20" s="44"/>
      <x:c r="AL20" s="44"/>
      <x:c r="AM20" s="44"/>
      <x:c r="AN20" s="44"/>
      <x:c r="AO20" s="44"/>
      <x:c r="AP20" s="44"/>
      <x:c r="AQ20" s="44"/>
      <x:c r="AR20" s="44"/>
      <x:c r="AS20" s="44"/>
      <x:c r="AT20" s="44"/>
      <x:c r="AU20" s="44"/>
      <x:c r="AV20" s="44"/>
      <x:c r="AW20" s="44"/>
      <x:c r="AX20" s="44"/>
      <x:c r="AY20" s="44"/>
      <x:c r="AZ20" s="44"/>
      <x:c r="BA20" s="44"/>
      <x:c r="BB20" s="44"/>
      <x:c r="BC20" s="44"/>
      <x:c r="BD20" s="44"/>
      <x:c r="BE20" s="44"/>
      <x:c r="BF20" s="44"/>
      <x:c r="BG20" s="44"/>
      <x:c r="BH20" s="44"/>
      <x:c r="BI20" s="44"/>
      <x:c r="BJ20" s="44"/>
      <x:c r="BK20" s="44"/>
      <x:c r="BL20" s="44"/>
      <x:c r="BM20" s="44"/>
      <x:c r="BN20" s="44"/>
      <x:c r="BO20" s="44"/>
      <x:c r="BP20" s="44"/>
      <x:c r="BQ20" s="44"/>
      <x:c r="BR20" s="44"/>
      <x:c r="BS20" s="44"/>
      <x:c r="BT20" s="44"/>
      <x:c r="BU20" s="44"/>
      <x:c r="BV20" s="44"/>
      <x:c r="BW20" s="44"/>
      <x:c r="BX20" s="44"/>
      <x:c r="BY20" s="44"/>
      <x:c r="BZ20" s="44"/>
      <x:c r="CA20" s="44"/>
      <x:c r="CB20" s="44"/>
      <x:c r="CC20" s="44"/>
      <x:c r="CD20" s="44"/>
      <x:c r="CE20" s="44"/>
      <x:c r="CF20" s="44"/>
      <x:c r="CG20" s="44"/>
      <x:c r="CH20" s="44"/>
      <x:c r="CI20" s="44"/>
    </x:row>
    <x:row r="21" ht="15" hidden="0" customHeight="1">
      <x:c r="A21" s="29" t="str">
        <x:v>基准收入路径与口径锚点（黄底蓝字可编辑）</x:v>
      </x:c>
      <x:c r="B21" s="29" t="str">
        <x:v>基准收入路径与口径锚点（黄底蓝字可编辑）</x:v>
      </x:c>
      <x:c r="C21" s="29" t="str">
        <x:v>基准收入路径与口径锚点（黄底蓝字可编辑）</x:v>
      </x:c>
      <x:c r="D21" s="29" t="str">
        <x:v>基准收入路径与口径锚点（黄底蓝字可编辑）</x:v>
      </x:c>
      <x:c r="E21" s="29" t="str">
        <x:v>基准收入路径与口径锚点（黄底蓝字可编辑）</x:v>
      </x:c>
      <x:c r="F21" s="29" t="str">
        <x:v>基准收入路径与口径锚点（黄底蓝字可编辑）</x:v>
      </x:c>
      <x:c r="G21" s="29" t="str">
        <x:v>基准收入路径与口径锚点（黄底蓝字可编辑）</x:v>
      </x:c>
      <x:c r="H21" s="29" t="str">
        <x:v>基准收入路径与口径锚点（黄底蓝字可编辑）</x:v>
      </x:c>
      <x:c r="I21" s="29" t="str">
        <x:v>基准收入路径与口径锚点（黄底蓝字可编辑）</x:v>
      </x:c>
      <x:c r="J21" s="29" t="str">
        <x:v>基准收入路径与口径锚点（黄底蓝字可编辑）</x:v>
      </x:c>
      <x:c r="K21" s="92"/>
      <x:c r="L21" s="92"/>
      <x:c r="M21" s="92"/>
      <x:c r="N21" s="92"/>
      <x:c r="O21" s="92"/>
      <x:c r="P21" s="92"/>
      <x:c r="Q21" s="92"/>
      <x:c r="R21" s="44"/>
      <x:c r="S21" s="44"/>
      <x:c r="T21" s="44"/>
      <x:c r="U21" s="44"/>
      <x:c r="V21" s="44"/>
      <x:c r="W21" s="44"/>
      <x:c r="X21" s="44"/>
      <x:c r="Y21" s="44"/>
      <x:c r="Z21" s="44"/>
      <x:c r="AA21" s="44"/>
      <x:c r="AB21" s="44"/>
      <x:c r="AC21" s="44"/>
      <x:c r="AD21" s="44"/>
      <x:c r="AE21" s="44"/>
      <x:c r="AF21" s="44"/>
      <x:c r="AG21" s="44"/>
      <x:c r="AH21" s="44"/>
      <x:c r="AI21" s="44"/>
      <x:c r="AJ21" s="44"/>
      <x:c r="AK21" s="44"/>
      <x:c r="AL21" s="44"/>
      <x:c r="AM21" s="44"/>
      <x:c r="AN21" s="44"/>
      <x:c r="AO21" s="44"/>
      <x:c r="AP21" s="44"/>
      <x:c r="AQ21" s="44"/>
      <x:c r="AR21" s="44"/>
      <x:c r="AS21" s="44"/>
      <x:c r="AT21" s="44"/>
      <x:c r="AU21" s="44"/>
      <x:c r="AV21" s="44"/>
      <x:c r="AW21" s="44"/>
      <x:c r="AX21" s="44"/>
      <x:c r="AY21" s="44"/>
      <x:c r="AZ21" s="44"/>
      <x:c r="BA21" s="44"/>
      <x:c r="BB21" s="44"/>
      <x:c r="BC21" s="44"/>
      <x:c r="BD21" s="44"/>
      <x:c r="BE21" s="44"/>
      <x:c r="BF21" s="44"/>
      <x:c r="BG21" s="44"/>
      <x:c r="BH21" s="44"/>
      <x:c r="BI21" s="44"/>
      <x:c r="BJ21" s="44"/>
      <x:c r="BK21" s="44"/>
      <x:c r="BL21" s="44"/>
      <x:c r="BM21" s="44"/>
      <x:c r="BN21" s="44"/>
      <x:c r="BO21" s="44"/>
      <x:c r="BP21" s="44"/>
      <x:c r="BQ21" s="44"/>
      <x:c r="BR21" s="44"/>
      <x:c r="BS21" s="44"/>
      <x:c r="BT21" s="44"/>
      <x:c r="BU21" s="44"/>
      <x:c r="BV21" s="44"/>
      <x:c r="BW21" s="44"/>
      <x:c r="BX21" s="44"/>
      <x:c r="BY21" s="44"/>
      <x:c r="BZ21" s="44"/>
      <x:c r="CA21" s="44"/>
      <x:c r="CB21" s="44"/>
      <x:c r="CC21" s="44"/>
      <x:c r="CD21" s="44"/>
      <x:c r="CE21" s="44"/>
      <x:c r="CF21" s="44"/>
      <x:c r="CG21" s="44"/>
      <x:c r="CH21" s="44"/>
      <x:c r="CI21" s="44"/>
    </x:row>
    <x:row r="22" ht="15" hidden="0" customHeight="1">
      <x:c r="A22" s="92"/>
      <x:c r="B22" s="92"/>
      <x:c r="C22" s="92"/>
      <x:c r="D22" s="92"/>
      <x:c r="E22" s="92"/>
      <x:c r="F22" s="92"/>
      <x:c r="G22" s="92"/>
      <x:c r="H22" s="92"/>
      <x:c r="I22" s="92"/>
      <x:c r="J22" s="92"/>
      <x:c r="K22" s="92"/>
      <x:c r="L22" s="92"/>
      <x:c r="M22" s="92"/>
      <x:c r="N22" s="92"/>
      <x:c r="O22" s="92"/>
      <x:c r="P22" s="92"/>
      <x:c r="Q22" s="92"/>
      <x:c r="R22" s="44"/>
      <x:c r="S22" s="44"/>
      <x:c r="T22" s="44"/>
      <x:c r="U22" s="44"/>
      <x:c r="V22" s="44"/>
      <x:c r="W22" s="44"/>
      <x:c r="X22" s="44"/>
      <x:c r="Y22" s="44"/>
      <x:c r="Z22" s="44"/>
      <x:c r="AA22" s="44"/>
      <x:c r="AB22" s="44"/>
      <x:c r="AC22" s="44"/>
      <x:c r="AD22" s="44"/>
      <x:c r="AE22" s="44"/>
      <x:c r="AF22" s="44"/>
      <x:c r="AG22" s="44"/>
      <x:c r="AH22" s="44"/>
      <x:c r="AI22" s="44"/>
      <x:c r="AJ22" s="44"/>
      <x:c r="AK22" s="44"/>
      <x:c r="AL22" s="44"/>
      <x:c r="AM22" s="44"/>
      <x:c r="AN22" s="44"/>
      <x:c r="AO22" s="44"/>
      <x:c r="AP22" s="44"/>
      <x:c r="AQ22" s="44"/>
      <x:c r="AR22" s="44"/>
      <x:c r="AS22" s="44"/>
      <x:c r="AT22" s="44"/>
      <x:c r="AU22" s="44"/>
      <x:c r="AV22" s="44"/>
      <x:c r="AW22" s="44"/>
      <x:c r="AX22" s="44"/>
      <x:c r="AY22" s="44"/>
      <x:c r="AZ22" s="44"/>
      <x:c r="BA22" s="44"/>
      <x:c r="BB22" s="44"/>
      <x:c r="BC22" s="44"/>
      <x:c r="BD22" s="44"/>
      <x:c r="BE22" s="44"/>
      <x:c r="BF22" s="44"/>
      <x:c r="BG22" s="44"/>
      <x:c r="BH22" s="44"/>
      <x:c r="BI22" s="44"/>
      <x:c r="BJ22" s="44"/>
      <x:c r="BK22" s="44"/>
      <x:c r="BL22" s="44"/>
      <x:c r="BM22" s="44"/>
      <x:c r="BN22" s="44"/>
      <x:c r="BO22" s="44"/>
      <x:c r="BP22" s="44"/>
      <x:c r="BQ22" s="44"/>
      <x:c r="BR22" s="44"/>
      <x:c r="BS22" s="44"/>
      <x:c r="BT22" s="44"/>
      <x:c r="BU22" s="44"/>
      <x:c r="BV22" s="44"/>
      <x:c r="BW22" s="44"/>
      <x:c r="BX22" s="44"/>
      <x:c r="BY22" s="44"/>
      <x:c r="BZ22" s="44"/>
      <x:c r="CA22" s="44"/>
      <x:c r="CB22" s="44"/>
      <x:c r="CC22" s="44"/>
      <x:c r="CD22" s="44"/>
      <x:c r="CE22" s="44"/>
      <x:c r="CF22" s="44"/>
      <x:c r="CG22" s="44"/>
      <x:c r="CH22" s="44"/>
      <x:c r="CI22" s="44"/>
    </x:row>
    <x:row r="23" ht="15" hidden="0" customHeight="1">
      <x:c r="A23" s="12" t="str">
        <x:v>分类</x:v>
      </x:c>
      <x:c r="B23" s="12" t="n">
        <x:v>2022</x:v>
      </x:c>
      <x:c r="C23" s="12" t="n">
        <x:v>2023</x:v>
      </x:c>
      <x:c r="D23" s="12" t="n">
        <x:v>2024</x:v>
      </x:c>
      <x:c r="E23" s="12" t="n">
        <x:v>2025</x:v>
      </x:c>
      <x:c r="F23" s="12" t="n">
        <x:v>2026</x:v>
      </x:c>
      <x:c r="G23" s="12" t="n">
        <x:v>2027</x:v>
      </x:c>
      <x:c r="H23" s="12" t="n">
        <x:v>2028</x:v>
      </x:c>
      <x:c r="I23" s="12" t="n">
        <x:v>2029</x:v>
      </x:c>
      <x:c r="J23" s="12" t="n">
        <x:v>2030</x:v>
      </x:c>
      <x:c r="K23" s="92"/>
      <x:c r="L23" s="92"/>
      <x:c r="M23" s="92"/>
      <x:c r="N23" s="92"/>
      <x:c r="O23" s="92"/>
      <x:c r="P23" s="92"/>
      <x:c r="Q23" s="92"/>
      <x:c r="R23" s="44"/>
      <x:c r="S23" s="44"/>
      <x:c r="T23" s="44"/>
      <x:c r="U23" s="44"/>
      <x:c r="V23" s="44"/>
      <x:c r="W23" s="44"/>
      <x:c r="X23" s="44"/>
      <x:c r="Y23" s="44"/>
      <x:c r="Z23" s="44"/>
      <x:c r="AA23" s="44"/>
      <x:c r="AB23" s="44"/>
      <x:c r="AC23" s="44"/>
      <x:c r="AD23" s="44"/>
      <x:c r="AE23" s="44"/>
      <x:c r="AF23" s="44"/>
      <x:c r="AG23" s="44"/>
      <x:c r="AH23" s="44"/>
      <x:c r="AI23" s="44"/>
      <x:c r="AJ23" s="44"/>
      <x:c r="AK23" s="44"/>
      <x:c r="AL23" s="44"/>
      <x:c r="AM23" s="44"/>
      <x:c r="AN23" s="44"/>
      <x:c r="AO23" s="44"/>
      <x:c r="AP23" s="44"/>
      <x:c r="AQ23" s="44"/>
      <x:c r="AR23" s="44"/>
      <x:c r="AS23" s="44"/>
      <x:c r="AT23" s="44"/>
      <x:c r="AU23" s="44"/>
      <x:c r="AV23" s="44"/>
      <x:c r="AW23" s="44"/>
      <x:c r="AX23" s="44"/>
      <x:c r="AY23" s="44"/>
      <x:c r="AZ23" s="44"/>
      <x:c r="BA23" s="44"/>
      <x:c r="BB23" s="44"/>
      <x:c r="BC23" s="44"/>
      <x:c r="BD23" s="44"/>
      <x:c r="BE23" s="44"/>
      <x:c r="BF23" s="44"/>
      <x:c r="BG23" s="44"/>
      <x:c r="BH23" s="44"/>
      <x:c r="BI23" s="44"/>
      <x:c r="BJ23" s="44"/>
      <x:c r="BK23" s="44"/>
      <x:c r="BL23" s="44"/>
      <x:c r="BM23" s="44"/>
      <x:c r="BN23" s="44"/>
      <x:c r="BO23" s="44"/>
      <x:c r="BP23" s="44"/>
      <x:c r="BQ23" s="44"/>
      <x:c r="BR23" s="44"/>
      <x:c r="BS23" s="44"/>
      <x:c r="BT23" s="44"/>
      <x:c r="BU23" s="44"/>
      <x:c r="BV23" s="44"/>
      <x:c r="BW23" s="44"/>
      <x:c r="BX23" s="44"/>
      <x:c r="BY23" s="44"/>
      <x:c r="BZ23" s="44"/>
      <x:c r="CA23" s="44"/>
      <x:c r="CB23" s="44"/>
      <x:c r="CC23" s="44"/>
      <x:c r="CD23" s="44"/>
      <x:c r="CE23" s="44"/>
      <x:c r="CF23" s="44"/>
      <x:c r="CG23" s="44"/>
      <x:c r="CH23" s="44"/>
      <x:c r="CI23" s="44"/>
    </x:row>
    <x:row r="24" ht="15" hidden="0" customHeight="1">
      <x:c r="A24" s="16" t="str">
        <x:v>模型与API收入</x:v>
      </x:c>
      <x:c r="B24" s="26" t="n">
        <x:v>10</x:v>
      </x:c>
      <x:c r="C24" s="26" t="n">
        <x:v>20</x:v>
      </x:c>
      <x:c r="D24" s="26" t="n">
        <x:v>150</x:v>
      </x:c>
      <x:c r="E24" s="26" t="n">
        <x:v>550</x:v>
      </x:c>
      <x:c r="F24" s="26" t="n">
        <x:v>954.8705694115602</x:v>
      </x:c>
      <x:c r="G24" s="26" t="n">
        <x:v>1865.0609112409145</x:v>
      </x:c>
      <x:c r="H24" s="26" t="n">
        <x:v>3052.4216051703847</x:v>
      </x:c>
      <x:c r="I24" s="26" t="n">
        <x:v>4554.972675407251</x:v>
      </x:c>
      <x:c r="J24" s="26" t="n">
        <x:v>6524.434440072114</x:v>
      </x:c>
      <x:c r="K24" s="92"/>
      <x:c r="L24" s="92"/>
      <x:c r="M24" s="92"/>
      <x:c r="N24" s="92"/>
      <x:c r="O24" s="92"/>
      <x:c r="P24" s="92"/>
      <x:c r="Q24" s="92"/>
      <x:c r="R24" s="44"/>
      <x:c r="S24" s="44"/>
      <x:c r="T24" s="44"/>
      <x:c r="U24" s="44"/>
      <x:c r="V24" s="44"/>
      <x:c r="W24" s="44"/>
      <x:c r="X24" s="44"/>
      <x:c r="Y24" s="44"/>
      <x:c r="Z24" s="44"/>
      <x:c r="AA24" s="44"/>
      <x:c r="AB24" s="44"/>
      <x:c r="AC24" s="44"/>
      <x:c r="AD24" s="44"/>
      <x:c r="AE24" s="44"/>
      <x:c r="AF24" s="44"/>
      <x:c r="AG24" s="44"/>
      <x:c r="AH24" s="44"/>
      <x:c r="AI24" s="44"/>
      <x:c r="AJ24" s="44"/>
      <x:c r="AK24" s="44"/>
      <x:c r="AL24" s="44"/>
      <x:c r="AM24" s="44"/>
      <x:c r="AN24" s="44"/>
      <x:c r="AO24" s="44"/>
      <x:c r="AP24" s="44"/>
      <x:c r="AQ24" s="44"/>
      <x:c r="AR24" s="44"/>
      <x:c r="AS24" s="44"/>
      <x:c r="AT24" s="44"/>
      <x:c r="AU24" s="44"/>
      <x:c r="AV24" s="44"/>
      <x:c r="AW24" s="44"/>
      <x:c r="AX24" s="44"/>
      <x:c r="AY24" s="44"/>
      <x:c r="AZ24" s="44"/>
      <x:c r="BA24" s="44"/>
      <x:c r="BB24" s="44"/>
      <x:c r="BC24" s="44"/>
      <x:c r="BD24" s="44"/>
      <x:c r="BE24" s="44"/>
      <x:c r="BF24" s="44"/>
      <x:c r="BG24" s="44"/>
      <x:c r="BH24" s="44"/>
      <x:c r="BI24" s="44"/>
      <x:c r="BJ24" s="44"/>
      <x:c r="BK24" s="44"/>
      <x:c r="BL24" s="44"/>
      <x:c r="BM24" s="44"/>
      <x:c r="BN24" s="44"/>
      <x:c r="BO24" s="44"/>
      <x:c r="BP24" s="44"/>
      <x:c r="BQ24" s="44"/>
      <x:c r="BR24" s="44"/>
      <x:c r="BS24" s="44"/>
      <x:c r="BT24" s="44"/>
      <x:c r="BU24" s="44"/>
      <x:c r="BV24" s="44"/>
      <x:c r="BW24" s="44"/>
      <x:c r="BX24" s="44"/>
      <x:c r="BY24" s="44"/>
      <x:c r="BZ24" s="44"/>
      <x:c r="CA24" s="44"/>
      <x:c r="CB24" s="44"/>
      <x:c r="CC24" s="44"/>
      <x:c r="CD24" s="44"/>
      <x:c r="CE24" s="44"/>
      <x:c r="CF24" s="44"/>
      <x:c r="CG24" s="44"/>
      <x:c r="CH24" s="44"/>
      <x:c r="CI24" s="44"/>
    </x:row>
    <x:row r="25" ht="15" hidden="0" customHeight="1">
      <x:c r="A25" s="16" t="str">
        <x:v>AI原生应用收入</x:v>
      </x:c>
      <x:c r="B25" s="26" t="n">
        <x:v>10</x:v>
      </x:c>
      <x:c r="C25" s="26" t="n">
        <x:v>30</x:v>
      </x:c>
      <x:c r="D25" s="26" t="n">
        <x:v>80</x:v>
      </x:c>
      <x:c r="E25" s="26" t="n">
        <x:v>200</x:v>
      </x:c>
      <x:c r="F25" s="26" t="n">
        <x:v>360</x:v>
      </x:c>
      <x:c r="G25" s="26" t="n">
        <x:v>1150</x:v>
      </x:c>
      <x:c r="H25" s="26" t="n">
        <x:v>2800</x:v>
      </x:c>
      <x:c r="I25" s="26" t="n">
        <x:v>5350</x:v>
      </x:c>
      <x:c r="J25" s="26" t="n">
        <x:v>9000</x:v>
      </x:c>
      <x:c r="K25" s="92"/>
      <x:c r="L25" s="92"/>
      <x:c r="M25" s="92"/>
      <x:c r="N25" s="92"/>
      <x:c r="O25" s="92"/>
      <x:c r="P25" s="92"/>
      <x:c r="Q25" s="92"/>
      <x:c r="R25" s="44"/>
      <x:c r="S25" s="44"/>
      <x:c r="T25" s="44"/>
      <x:c r="U25" s="44"/>
      <x:c r="V25" s="44"/>
      <x:c r="W25" s="44"/>
      <x:c r="X25" s="44"/>
      <x:c r="Y25" s="44"/>
      <x:c r="Z25" s="44"/>
      <x:c r="AA25" s="44"/>
      <x:c r="AB25" s="44"/>
      <x:c r="AC25" s="44"/>
      <x:c r="AD25" s="44"/>
      <x:c r="AE25" s="44"/>
      <x:c r="AF25" s="44"/>
      <x:c r="AG25" s="44"/>
      <x:c r="AH25" s="44"/>
      <x:c r="AI25" s="44"/>
      <x:c r="AJ25" s="44"/>
      <x:c r="AK25" s="44"/>
      <x:c r="AL25" s="44"/>
      <x:c r="AM25" s="44"/>
      <x:c r="AN25" s="44"/>
      <x:c r="AO25" s="44"/>
      <x:c r="AP25" s="44"/>
      <x:c r="AQ25" s="44"/>
      <x:c r="AR25" s="44"/>
      <x:c r="AS25" s="44"/>
      <x:c r="AT25" s="44"/>
      <x:c r="AU25" s="44"/>
      <x:c r="AV25" s="44"/>
      <x:c r="AW25" s="44"/>
      <x:c r="AX25" s="44"/>
      <x:c r="AY25" s="44"/>
      <x:c r="AZ25" s="44"/>
      <x:c r="BA25" s="44"/>
      <x:c r="BB25" s="44"/>
      <x:c r="BC25" s="44"/>
      <x:c r="BD25" s="44"/>
      <x:c r="BE25" s="44"/>
      <x:c r="BF25" s="44"/>
      <x:c r="BG25" s="44"/>
      <x:c r="BH25" s="44"/>
      <x:c r="BI25" s="44"/>
      <x:c r="BJ25" s="44"/>
      <x:c r="BK25" s="44"/>
      <x:c r="BL25" s="44"/>
      <x:c r="BM25" s="44"/>
      <x:c r="BN25" s="44"/>
      <x:c r="BO25" s="44"/>
      <x:c r="BP25" s="44"/>
      <x:c r="BQ25" s="44"/>
      <x:c r="BR25" s="44"/>
      <x:c r="BS25" s="44"/>
      <x:c r="BT25" s="44"/>
      <x:c r="BU25" s="44"/>
      <x:c r="BV25" s="44"/>
      <x:c r="BW25" s="44"/>
      <x:c r="BX25" s="44"/>
      <x:c r="BY25" s="44"/>
      <x:c r="BZ25" s="44"/>
      <x:c r="CA25" s="44"/>
      <x:c r="CB25" s="44"/>
      <x:c r="CC25" s="44"/>
      <x:c r="CD25" s="44"/>
      <x:c r="CE25" s="44"/>
      <x:c r="CF25" s="44"/>
      <x:c r="CG25" s="44"/>
      <x:c r="CH25" s="44"/>
      <x:c r="CI25" s="44"/>
    </x:row>
    <x:row r="26" ht="15" hidden="0" customHeight="1">
      <x:c r="A26" s="16" t="str">
        <x:v>云AI与模型即服务（MaaS）收入</x:v>
      </x:c>
      <x:c r="B26" s="26" t="n">
        <x:v>50</x:v>
      </x:c>
      <x:c r="C26" s="26" t="n">
        <x:v>120</x:v>
      </x:c>
      <x:c r="D26" s="26" t="n">
        <x:v>280</x:v>
      </x:c>
      <x:c r="E26" s="26" t="n">
        <x:v>850</x:v>
      </x:c>
      <x:c r="F26" s="26" t="n">
        <x:v>1003.5884556060274</x:v>
      </x:c>
      <x:c r="G26" s="26" t="n">
        <x:v>2391.103732360147</x:v>
      </x:c>
      <x:c r="H26" s="26" t="n">
        <x:v>4624.8812199551285</x:v>
      </x:c>
      <x:c r="I26" s="26" t="n">
        <x:v>8038.18707424809</x:v>
      </x:c>
      <x:c r="J26" s="26" t="n">
        <x:v>12613.906584139419</x:v>
      </x:c>
      <x:c r="K26" s="92"/>
      <x:c r="L26" s="92"/>
      <x:c r="M26" s="92"/>
      <x:c r="N26" s="92"/>
      <x:c r="O26" s="92"/>
      <x:c r="P26" s="92"/>
      <x:c r="Q26" s="92"/>
      <x:c r="R26" s="44"/>
      <x:c r="S26" s="44"/>
      <x:c r="T26" s="44"/>
      <x:c r="U26" s="44"/>
      <x:c r="V26" s="44"/>
      <x:c r="W26" s="44"/>
      <x:c r="X26" s="44"/>
      <x:c r="Y26" s="44"/>
      <x:c r="Z26" s="44"/>
      <x:c r="AA26" s="44"/>
      <x:c r="AB26" s="44"/>
      <x:c r="AC26" s="44"/>
      <x:c r="AD26" s="44"/>
      <x:c r="AE26" s="44"/>
      <x:c r="AF26" s="44"/>
      <x:c r="AG26" s="44"/>
      <x:c r="AH26" s="44"/>
      <x:c r="AI26" s="44"/>
      <x:c r="AJ26" s="44"/>
      <x:c r="AK26" s="44"/>
      <x:c r="AL26" s="44"/>
      <x:c r="AM26" s="44"/>
      <x:c r="AN26" s="44"/>
      <x:c r="AO26" s="44"/>
      <x:c r="AP26" s="44"/>
      <x:c r="AQ26" s="44"/>
      <x:c r="AR26" s="44"/>
      <x:c r="AS26" s="44"/>
      <x:c r="AT26" s="44"/>
      <x:c r="AU26" s="44"/>
      <x:c r="AV26" s="44"/>
      <x:c r="AW26" s="44"/>
      <x:c r="AX26" s="44"/>
      <x:c r="AY26" s="44"/>
      <x:c r="AZ26" s="44"/>
      <x:c r="BA26" s="44"/>
      <x:c r="BB26" s="44"/>
      <x:c r="BC26" s="44"/>
      <x:c r="BD26" s="44"/>
      <x:c r="BE26" s="44"/>
      <x:c r="BF26" s="44"/>
      <x:c r="BG26" s="44"/>
      <x:c r="BH26" s="44"/>
      <x:c r="BI26" s="44"/>
      <x:c r="BJ26" s="44"/>
      <x:c r="BK26" s="44"/>
      <x:c r="BL26" s="44"/>
      <x:c r="BM26" s="44"/>
      <x:c r="BN26" s="44"/>
      <x:c r="BO26" s="44"/>
      <x:c r="BP26" s="44"/>
      <x:c r="BQ26" s="44"/>
      <x:c r="BR26" s="44"/>
      <x:c r="BS26" s="44"/>
      <x:c r="BT26" s="44"/>
      <x:c r="BU26" s="44"/>
      <x:c r="BV26" s="44"/>
      <x:c r="BW26" s="44"/>
      <x:c r="BX26" s="44"/>
      <x:c r="BY26" s="44"/>
      <x:c r="BZ26" s="44"/>
      <x:c r="CA26" s="44"/>
      <x:c r="CB26" s="44"/>
      <x:c r="CC26" s="44"/>
      <x:c r="CD26" s="44"/>
      <x:c r="CE26" s="44"/>
      <x:c r="CF26" s="44"/>
      <x:c r="CG26" s="44"/>
      <x:c r="CH26" s="44"/>
      <x:c r="CI26" s="44"/>
    </x:row>
    <x:row r="27" ht="15" hidden="0" customHeight="1">
      <x:c r="A27" s="16" t="str">
        <x:v>大厂自有AI应用收入</x:v>
      </x:c>
      <x:c r="B27" s="26" t="n">
        <x:v>10</x:v>
      </x:c>
      <x:c r="C27" s="26" t="n">
        <x:v>20</x:v>
      </x:c>
      <x:c r="D27" s="26" t="n">
        <x:v>40</x:v>
      </x:c>
      <x:c r="E27" s="26" t="n">
        <x:v>250</x:v>
      </x:c>
      <x:c r="F27" s="26" t="n">
        <x:v>300</x:v>
      </x:c>
      <x:c r="G27" s="26" t="n">
        <x:v>950</x:v>
      </x:c>
      <x:c r="H27" s="26" t="n">
        <x:v>2200</x:v>
      </x:c>
      <x:c r="I27" s="26" t="n">
        <x:v>4300</x:v>
      </x:c>
      <x:c r="J27" s="26" t="n">
        <x:v>7600</x:v>
      </x:c>
      <x:c r="K27" s="92"/>
      <x:c r="L27" s="92"/>
      <x:c r="M27" s="92"/>
      <x:c r="N27" s="92"/>
      <x:c r="O27" s="92"/>
      <x:c r="P27" s="92"/>
      <x:c r="Q27" s="92"/>
      <x:c r="R27" s="44"/>
      <x:c r="S27" s="44"/>
      <x:c r="T27" s="44"/>
      <x:c r="U27" s="44"/>
      <x:c r="V27" s="44"/>
      <x:c r="W27" s="44"/>
      <x:c r="X27" s="44"/>
      <x:c r="Y27" s="44"/>
      <x:c r="Z27" s="44"/>
      <x:c r="AA27" s="44"/>
      <x:c r="AB27" s="44"/>
      <x:c r="AC27" s="44"/>
      <x:c r="AD27" s="44"/>
      <x:c r="AE27" s="44"/>
      <x:c r="AF27" s="44"/>
      <x:c r="AG27" s="44"/>
      <x:c r="AH27" s="44"/>
      <x:c r="AI27" s="44"/>
      <x:c r="AJ27" s="44"/>
      <x:c r="AK27" s="44"/>
      <x:c r="AL27" s="44"/>
      <x:c r="AM27" s="44"/>
      <x:c r="AN27" s="44"/>
      <x:c r="AO27" s="44"/>
      <x:c r="AP27" s="44"/>
      <x:c r="AQ27" s="44"/>
      <x:c r="AR27" s="44"/>
      <x:c r="AS27" s="44"/>
      <x:c r="AT27" s="44"/>
      <x:c r="AU27" s="44"/>
      <x:c r="AV27" s="44"/>
      <x:c r="AW27" s="44"/>
      <x:c r="AX27" s="44"/>
      <x:c r="AY27" s="44"/>
      <x:c r="AZ27" s="44"/>
      <x:c r="BA27" s="44"/>
      <x:c r="BB27" s="44"/>
      <x:c r="BC27" s="44"/>
      <x:c r="BD27" s="44"/>
      <x:c r="BE27" s="44"/>
      <x:c r="BF27" s="44"/>
      <x:c r="BG27" s="44"/>
      <x:c r="BH27" s="44"/>
      <x:c r="BI27" s="44"/>
      <x:c r="BJ27" s="44"/>
      <x:c r="BK27" s="44"/>
      <x:c r="BL27" s="44"/>
      <x:c r="BM27" s="44"/>
      <x:c r="BN27" s="44"/>
      <x:c r="BO27" s="44"/>
      <x:c r="BP27" s="44"/>
      <x:c r="BQ27" s="44"/>
      <x:c r="BR27" s="44"/>
      <x:c r="BS27" s="44"/>
      <x:c r="BT27" s="44"/>
      <x:c r="BU27" s="44"/>
      <x:c r="BV27" s="44"/>
      <x:c r="BW27" s="44"/>
      <x:c r="BX27" s="44"/>
      <x:c r="BY27" s="44"/>
      <x:c r="BZ27" s="44"/>
      <x:c r="CA27" s="44"/>
      <x:c r="CB27" s="44"/>
      <x:c r="CC27" s="44"/>
      <x:c r="CD27" s="44"/>
      <x:c r="CE27" s="44"/>
      <x:c r="CF27" s="44"/>
      <x:c r="CG27" s="44"/>
      <x:c r="CH27" s="44"/>
      <x:c r="CI27" s="44"/>
    </x:row>
    <x:row r="28" ht="15" hidden="0" customHeight="1">
      <x:c r="A28" s="16" t="str">
        <x:v>AI服务与行业解决方案收入</x:v>
      </x:c>
      <x:c r="B28" s="26" t="n">
        <x:v>50</x:v>
      </x:c>
      <x:c r="C28" s="26" t="n">
        <x:v>120</x:v>
      </x:c>
      <x:c r="D28" s="26" t="n">
        <x:v>200</x:v>
      </x:c>
      <x:c r="E28" s="26" t="n">
        <x:v>650</x:v>
      </x:c>
      <x:c r="F28" s="26" t="n">
        <x:v>770</x:v>
      </x:c>
      <x:c r="G28" s="26" t="n">
        <x:v>1750</x:v>
      </x:c>
      <x:c r="H28" s="26" t="n">
        <x:v>3100</x:v>
      </x:c>
      <x:c r="I28" s="26" t="n">
        <x:v>5400</x:v>
      </x:c>
      <x:c r="J28" s="26" t="n">
        <x:v>9000</x:v>
      </x:c>
      <x:c r="K28" s="92"/>
      <x:c r="L28" s="92"/>
      <x:c r="M28" s="92"/>
      <x:c r="N28" s="92"/>
      <x:c r="O28" s="92"/>
      <x:c r="P28" s="92"/>
      <x:c r="Q28" s="92"/>
      <x:c r="R28" s="44"/>
      <x:c r="S28" s="44"/>
      <x:c r="T28" s="44"/>
      <x:c r="U28" s="44"/>
      <x:c r="V28" s="44"/>
      <x:c r="W28" s="44"/>
      <x:c r="X28" s="44"/>
      <x:c r="Y28" s="44"/>
      <x:c r="Z28" s="44"/>
      <x:c r="AA28" s="44"/>
      <x:c r="AB28" s="44"/>
      <x:c r="AC28" s="44"/>
      <x:c r="AD28" s="44"/>
      <x:c r="AE28" s="44"/>
      <x:c r="AF28" s="44"/>
      <x:c r="AG28" s="44"/>
      <x:c r="AH28" s="44"/>
      <x:c r="AI28" s="44"/>
      <x:c r="AJ28" s="44"/>
      <x:c r="AK28" s="44"/>
      <x:c r="AL28" s="44"/>
      <x:c r="AM28" s="44"/>
      <x:c r="AN28" s="44"/>
      <x:c r="AO28" s="44"/>
      <x:c r="AP28" s="44"/>
      <x:c r="AQ28" s="44"/>
      <x:c r="AR28" s="44"/>
      <x:c r="AS28" s="44"/>
      <x:c r="AT28" s="44"/>
      <x:c r="AU28" s="44"/>
      <x:c r="AV28" s="44"/>
      <x:c r="AW28" s="44"/>
      <x:c r="AX28" s="44"/>
      <x:c r="AY28" s="44"/>
      <x:c r="AZ28" s="44"/>
      <x:c r="BA28" s="44"/>
      <x:c r="BB28" s="44"/>
      <x:c r="BC28" s="44"/>
      <x:c r="BD28" s="44"/>
      <x:c r="BE28" s="44"/>
      <x:c r="BF28" s="44"/>
      <x:c r="BG28" s="44"/>
      <x:c r="BH28" s="44"/>
      <x:c r="BI28" s="44"/>
      <x:c r="BJ28" s="44"/>
      <x:c r="BK28" s="44"/>
      <x:c r="BL28" s="44"/>
      <x:c r="BM28" s="44"/>
      <x:c r="BN28" s="44"/>
      <x:c r="BO28" s="44"/>
      <x:c r="BP28" s="44"/>
      <x:c r="BQ28" s="44"/>
      <x:c r="BR28" s="44"/>
      <x:c r="BS28" s="44"/>
      <x:c r="BT28" s="44"/>
      <x:c r="BU28" s="44"/>
      <x:c r="BV28" s="44"/>
      <x:c r="BW28" s="44"/>
      <x:c r="BX28" s="44"/>
      <x:c r="BY28" s="44"/>
      <x:c r="BZ28" s="44"/>
      <x:c r="CA28" s="44"/>
      <x:c r="CB28" s="44"/>
      <x:c r="CC28" s="44"/>
      <x:c r="CD28" s="44"/>
      <x:c r="CE28" s="44"/>
      <x:c r="CF28" s="44"/>
      <x:c r="CG28" s="44"/>
      <x:c r="CH28" s="44"/>
      <x:c r="CI28" s="44"/>
    </x:row>
    <x:row r="29" ht="15" hidden="0" customHeight="1">
      <x:c r="A29" s="16" t="str">
        <x:v>嵌入式AI增量收入</x:v>
      </x:c>
      <x:c r="B29" s="26" t="n">
        <x:v>20</x:v>
      </x:c>
      <x:c r="C29" s="26" t="n">
        <x:v>40</x:v>
      </x:c>
      <x:c r="D29" s="26" t="n">
        <x:v>100</x:v>
      </x:c>
      <x:c r="E29" s="26" t="n">
        <x:v>360</x:v>
      </x:c>
      <x:c r="F29" s="26" t="n">
        <x:v>510</x:v>
      </x:c>
      <x:c r="G29" s="26" t="n">
        <x:v>1150</x:v>
      </x:c>
      <x:c r="H29" s="26" t="n">
        <x:v>2050</x:v>
      </x:c>
      <x:c r="I29" s="26" t="n">
        <x:v>3800</x:v>
      </x:c>
      <x:c r="J29" s="26" t="n">
        <x:v>6500</x:v>
      </x:c>
      <x:c r="K29" s="92"/>
      <x:c r="L29" s="92"/>
      <x:c r="M29" s="92"/>
      <x:c r="N29" s="92"/>
      <x:c r="O29" s="92"/>
      <x:c r="P29" s="92"/>
      <x:c r="Q29" s="92"/>
      <x:c r="R29" s="44"/>
      <x:c r="S29" s="44"/>
      <x:c r="T29" s="44"/>
      <x:c r="U29" s="44"/>
      <x:c r="V29" s="44"/>
      <x:c r="W29" s="44"/>
      <x:c r="X29" s="44"/>
      <x:c r="Y29" s="44"/>
      <x:c r="Z29" s="44"/>
      <x:c r="AA29" s="44"/>
      <x:c r="AB29" s="44"/>
      <x:c r="AC29" s="44"/>
      <x:c r="AD29" s="44"/>
      <x:c r="AE29" s="44"/>
      <x:c r="AF29" s="44"/>
      <x:c r="AG29" s="44"/>
      <x:c r="AH29" s="44"/>
      <x:c r="AI29" s="44"/>
      <x:c r="AJ29" s="44"/>
      <x:c r="AK29" s="44"/>
      <x:c r="AL29" s="44"/>
      <x:c r="AM29" s="44"/>
      <x:c r="AN29" s="44"/>
      <x:c r="AO29" s="44"/>
      <x:c r="AP29" s="44"/>
      <x:c r="AQ29" s="44"/>
      <x:c r="AR29" s="44"/>
      <x:c r="AS29" s="44"/>
      <x:c r="AT29" s="44"/>
      <x:c r="AU29" s="44"/>
      <x:c r="AV29" s="44"/>
      <x:c r="AW29" s="44"/>
      <x:c r="AX29" s="44"/>
      <x:c r="AY29" s="44"/>
      <x:c r="AZ29" s="44"/>
      <x:c r="BA29" s="44"/>
      <x:c r="BB29" s="44"/>
      <x:c r="BC29" s="44"/>
      <x:c r="BD29" s="44"/>
      <x:c r="BE29" s="44"/>
      <x:c r="BF29" s="44"/>
      <x:c r="BG29" s="44"/>
      <x:c r="BH29" s="44"/>
      <x:c r="BI29" s="44"/>
      <x:c r="BJ29" s="44"/>
      <x:c r="BK29" s="44"/>
      <x:c r="BL29" s="44"/>
      <x:c r="BM29" s="44"/>
      <x:c r="BN29" s="44"/>
      <x:c r="BO29" s="44"/>
      <x:c r="BP29" s="44"/>
      <x:c r="BQ29" s="44"/>
      <x:c r="BR29" s="44"/>
      <x:c r="BS29" s="44"/>
      <x:c r="BT29" s="44"/>
      <x:c r="BU29" s="44"/>
      <x:c r="BV29" s="44"/>
      <x:c r="BW29" s="44"/>
      <x:c r="BX29" s="44"/>
      <x:c r="BY29" s="44"/>
      <x:c r="BZ29" s="44"/>
      <x:c r="CA29" s="44"/>
      <x:c r="CB29" s="44"/>
      <x:c r="CC29" s="44"/>
      <x:c r="CD29" s="44"/>
      <x:c r="CE29" s="44"/>
      <x:c r="CF29" s="44"/>
      <x:c r="CG29" s="44"/>
      <x:c r="CH29" s="44"/>
      <x:c r="CI29" s="44"/>
    </x:row>
    <x:row r="30" ht="15" hidden="0" customHeight="1">
      <x:c r="A30" s="71" t="str">
        <x:v>指标</x:v>
      </x:c>
      <x:c r="B30" s="71" t="n">
        <x:v>2022</x:v>
      </x:c>
      <x:c r="C30" s="71" t="n">
        <x:v>2023</x:v>
      </x:c>
      <x:c r="D30" s="71" t="n">
        <x:v>2024</x:v>
      </x:c>
      <x:c r="E30" s="71" t="n">
        <x:v>2025</x:v>
      </x:c>
      <x:c r="F30" s="71" t="n">
        <x:v>2026</x:v>
      </x:c>
      <x:c r="G30" s="71" t="n">
        <x:v>2027</x:v>
      </x:c>
      <x:c r="H30" s="71" t="n">
        <x:v>2028</x:v>
      </x:c>
      <x:c r="I30" s="71" t="n">
        <x:v>2029</x:v>
      </x:c>
      <x:c r="J30" s="71" t="n">
        <x:v>2030</x:v>
      </x:c>
      <x:c r="K30" s="92"/>
      <x:c r="L30" s="92"/>
      <x:c r="M30" s="92"/>
      <x:c r="N30" s="92"/>
      <x:c r="O30" s="92"/>
      <x:c r="P30" s="92"/>
      <x:c r="Q30" s="92"/>
      <x:c r="R30" s="44"/>
      <x:c r="S30" s="44"/>
      <x:c r="T30" s="44"/>
      <x:c r="U30" s="44"/>
      <x:c r="V30" s="44"/>
      <x:c r="W30" s="44"/>
      <x:c r="X30" s="44"/>
      <x:c r="Y30" s="44"/>
      <x:c r="Z30" s="44"/>
      <x:c r="AA30" s="44"/>
      <x:c r="AB30" s="44"/>
      <x:c r="AC30" s="44"/>
      <x:c r="AD30" s="44"/>
      <x:c r="AE30" s="44"/>
      <x:c r="AF30" s="44"/>
      <x:c r="AG30" s="44"/>
      <x:c r="AH30" s="44"/>
      <x:c r="AI30" s="44"/>
      <x:c r="AJ30" s="44"/>
      <x:c r="AK30" s="44"/>
      <x:c r="AL30" s="44"/>
      <x:c r="AM30" s="44"/>
      <x:c r="AN30" s="44"/>
      <x:c r="AO30" s="44"/>
      <x:c r="AP30" s="44"/>
      <x:c r="AQ30" s="44"/>
      <x:c r="AR30" s="44"/>
      <x:c r="AS30" s="44"/>
      <x:c r="AT30" s="44"/>
      <x:c r="AU30" s="44"/>
      <x:c r="AV30" s="44"/>
      <x:c r="AW30" s="44"/>
      <x:c r="AX30" s="44"/>
      <x:c r="AY30" s="44"/>
      <x:c r="AZ30" s="44"/>
      <x:c r="BA30" s="44"/>
      <x:c r="BB30" s="44"/>
      <x:c r="BC30" s="44"/>
      <x:c r="BD30" s="44"/>
      <x:c r="BE30" s="44"/>
      <x:c r="BF30" s="44"/>
      <x:c r="BG30" s="44"/>
      <x:c r="BH30" s="44"/>
      <x:c r="BI30" s="44"/>
      <x:c r="BJ30" s="44"/>
      <x:c r="BK30" s="44"/>
      <x:c r="BL30" s="44"/>
      <x:c r="BM30" s="44"/>
      <x:c r="BN30" s="44"/>
      <x:c r="BO30" s="44"/>
      <x:c r="BP30" s="44"/>
      <x:c r="BQ30" s="44"/>
      <x:c r="BR30" s="44"/>
      <x:c r="BS30" s="44"/>
      <x:c r="BT30" s="44"/>
      <x:c r="BU30" s="44"/>
      <x:c r="BV30" s="44"/>
      <x:c r="BW30" s="44"/>
      <x:c r="BX30" s="44"/>
      <x:c r="BY30" s="44"/>
      <x:c r="BZ30" s="44"/>
      <x:c r="CA30" s="44"/>
      <x:c r="CB30" s="44"/>
      <x:c r="CC30" s="44"/>
      <x:c r="CD30" s="44"/>
      <x:c r="CE30" s="44"/>
      <x:c r="CF30" s="44"/>
      <x:c r="CG30" s="44"/>
      <x:c r="CH30" s="44"/>
      <x:c r="CI30" s="44"/>
    </x:row>
    <x:row r="31" ht="15" hidden="0" customHeight="1">
      <x:c r="A31" s="16" t="str">
        <x:v>Base供应链去重后收入计入率</x:v>
      </x:c>
      <x:c r="B31" s="20" t="n">
        <x:v>0.45</x:v>
      </x:c>
      <x:c r="C31" s="20" t="n">
        <x:v>0.5</x:v>
      </x:c>
      <x:c r="D31" s="20" t="n">
        <x:v>0.58</x:v>
      </x:c>
      <x:c r="E31" s="20" t="n">
        <x:v>0.63</x:v>
      </x:c>
      <x:c r="F31" s="20" t="n">
        <x:v>0.8</x:v>
      </x:c>
      <x:c r="G31" s="20" t="n">
        <x:v>0.82</x:v>
      </x:c>
      <x:c r="H31" s="20" t="n">
        <x:v>0.84</x:v>
      </x:c>
      <x:c r="I31" s="20" t="n">
        <x:v>0.86</x:v>
      </x:c>
      <x:c r="J31" s="20" t="n">
        <x:v>0.88</x:v>
      </x:c>
      <x:c r="K31" s="92"/>
      <x:c r="L31" s="92"/>
      <x:c r="M31" s="92"/>
      <x:c r="N31" s="92"/>
      <x:c r="O31" s="92"/>
      <x:c r="P31" s="92"/>
      <x:c r="Q31" s="92"/>
      <x:c r="R31" s="44"/>
      <x:c r="S31" s="44"/>
      <x:c r="T31" s="44"/>
      <x:c r="U31" s="44"/>
      <x:c r="V31" s="44"/>
      <x:c r="W31" s="44"/>
      <x:c r="X31" s="44"/>
      <x:c r="Y31" s="44"/>
      <x:c r="Z31" s="44"/>
      <x:c r="AA31" s="44"/>
      <x:c r="AB31" s="44"/>
      <x:c r="AC31" s="44"/>
      <x:c r="AD31" s="44"/>
      <x:c r="AE31" s="44"/>
      <x:c r="AF31" s="44"/>
      <x:c r="AG31" s="44"/>
      <x:c r="AH31" s="44"/>
      <x:c r="AI31" s="44"/>
      <x:c r="AJ31" s="44"/>
      <x:c r="AK31" s="44"/>
      <x:c r="AL31" s="44"/>
      <x:c r="AM31" s="44"/>
      <x:c r="AN31" s="44"/>
      <x:c r="AO31" s="44"/>
      <x:c r="AP31" s="44"/>
      <x:c r="AQ31" s="44"/>
      <x:c r="AR31" s="44"/>
      <x:c r="AS31" s="44"/>
      <x:c r="AT31" s="44"/>
      <x:c r="AU31" s="44"/>
      <x:c r="AV31" s="44"/>
      <x:c r="AW31" s="44"/>
      <x:c r="AX31" s="44"/>
      <x:c r="AY31" s="44"/>
      <x:c r="AZ31" s="44"/>
      <x:c r="BA31" s="44"/>
      <x:c r="BB31" s="44"/>
      <x:c r="BC31" s="44"/>
      <x:c r="BD31" s="44"/>
      <x:c r="BE31" s="44"/>
      <x:c r="BF31" s="44"/>
      <x:c r="BG31" s="44"/>
      <x:c r="BH31" s="44"/>
      <x:c r="BI31" s="44"/>
      <x:c r="BJ31" s="44"/>
      <x:c r="BK31" s="44"/>
      <x:c r="BL31" s="44"/>
      <x:c r="BM31" s="44"/>
      <x:c r="BN31" s="44"/>
      <x:c r="BO31" s="44"/>
      <x:c r="BP31" s="44"/>
      <x:c r="BQ31" s="44"/>
      <x:c r="BR31" s="44"/>
      <x:c r="BS31" s="44"/>
      <x:c r="BT31" s="44"/>
      <x:c r="BU31" s="44"/>
      <x:c r="BV31" s="44"/>
      <x:c r="BW31" s="44"/>
      <x:c r="BX31" s="44"/>
      <x:c r="BY31" s="44"/>
      <x:c r="BZ31" s="44"/>
      <x:c r="CA31" s="44"/>
      <x:c r="CB31" s="44"/>
      <x:c r="CC31" s="44"/>
      <x:c r="CD31" s="44"/>
      <x:c r="CE31" s="44"/>
      <x:c r="CF31" s="44"/>
      <x:c r="CG31" s="44"/>
      <x:c r="CH31" s="44"/>
      <x:c r="CI31" s="44"/>
    </x:row>
    <x:row r="32" ht="15" hidden="0" customHeight="1">
      <x:c r="A32" s="16" t="str">
        <x:v>当前六类终端收入加权毛利率（公式）</x:v>
      </x:c>
      <x:c r="B32" s="20" t="n">
        <x:v>0.43</x:v>
      </x:c>
      <x:c r="C32" s="20" t="n">
        <x:v>0.44</x:v>
      </x:c>
      <x:c r="D32" s="20" t="n">
        <x:v>0.47</x:v>
      </x:c>
      <x:c r="E32" s="20" t="n">
        <x:v>0.48</x:v>
      </x:c>
      <x:c r="F32" s="126" t="n">
        <x:f>F73</x:f>
        <x:v>0.5</x:v>
      </x:c>
      <x:c r="G32" s="126" t="n">
        <x:f>G73</x:f>
        <x:v>0.5390966935815701</x:v>
      </x:c>
      <x:c r="H32" s="126" t="n">
        <x:f>H73</x:f>
        <x:v>0.5746192035683532</x:v>
      </x:c>
      <x:c r="I32" s="126" t="n">
        <x:f>I73</x:f>
        <x:v>0.6050766025680274</x:v>
      </x:c>
      <x:c r="J32" s="126" t="n">
        <x:f>J73</x:f>
        <x:v>0.6310374348285742</x:v>
      </x:c>
      <x:c r="K32" s="92"/>
      <x:c r="L32" s="92"/>
      <x:c r="M32" s="92"/>
      <x:c r="N32" s="92"/>
      <x:c r="O32" s="92"/>
      <x:c r="P32" s="92"/>
      <x:c r="Q32" s="92"/>
      <x:c r="R32" s="44"/>
      <x:c r="S32" s="44"/>
      <x:c r="T32" s="44"/>
      <x:c r="U32" s="44"/>
      <x:c r="V32" s="44"/>
      <x:c r="W32" s="44"/>
      <x:c r="X32" s="44"/>
      <x:c r="Y32" s="44"/>
      <x:c r="Z32" s="44"/>
      <x:c r="AA32" s="44"/>
      <x:c r="AB32" s="44"/>
      <x:c r="AC32" s="44"/>
      <x:c r="AD32" s="44"/>
      <x:c r="AE32" s="44"/>
      <x:c r="AF32" s="44"/>
      <x:c r="AG32" s="44"/>
      <x:c r="AH32" s="44"/>
      <x:c r="AI32" s="44"/>
      <x:c r="AJ32" s="44"/>
      <x:c r="AK32" s="44"/>
      <x:c r="AL32" s="44"/>
      <x:c r="AM32" s="44"/>
      <x:c r="AN32" s="44"/>
      <x:c r="AO32" s="44"/>
      <x:c r="AP32" s="44"/>
      <x:c r="AQ32" s="44"/>
      <x:c r="AR32" s="44"/>
      <x:c r="AS32" s="44"/>
      <x:c r="AT32" s="44"/>
      <x:c r="AU32" s="44"/>
      <x:c r="AV32" s="44"/>
      <x:c r="AW32" s="44"/>
      <x:c r="AX32" s="44"/>
      <x:c r="AY32" s="44"/>
      <x:c r="AZ32" s="44"/>
      <x:c r="BA32" s="44"/>
      <x:c r="BB32" s="44"/>
      <x:c r="BC32" s="44"/>
      <x:c r="BD32" s="44"/>
      <x:c r="BE32" s="44"/>
      <x:c r="BF32" s="44"/>
      <x:c r="BG32" s="44"/>
      <x:c r="BH32" s="44"/>
      <x:c r="BI32" s="44"/>
      <x:c r="BJ32" s="44"/>
      <x:c r="BK32" s="44"/>
      <x:c r="BL32" s="44"/>
      <x:c r="BM32" s="44"/>
      <x:c r="BN32" s="44"/>
      <x:c r="BO32" s="44"/>
      <x:c r="BP32" s="44"/>
      <x:c r="BQ32" s="44"/>
      <x:c r="BR32" s="44"/>
      <x:c r="BS32" s="44"/>
      <x:c r="BT32" s="44"/>
      <x:c r="BU32" s="44"/>
      <x:c r="BV32" s="44"/>
      <x:c r="BW32" s="44"/>
      <x:c r="BX32" s="44"/>
      <x:c r="BY32" s="44"/>
      <x:c r="BZ32" s="44"/>
      <x:c r="CA32" s="44"/>
      <x:c r="CB32" s="44"/>
      <x:c r="CC32" s="44"/>
      <x:c r="CD32" s="44"/>
      <x:c r="CE32" s="44"/>
      <x:c r="CF32" s="44"/>
      <x:c r="CG32" s="44"/>
      <x:c r="CH32" s="44"/>
      <x:c r="CI32" s="44"/>
    </x:row>
    <x:row r="33">
      <x:c r="R33" s="44"/>
      <x:c r="S33" s="44"/>
      <x:c r="T33" s="44"/>
      <x:c r="U33" s="44"/>
      <x:c r="V33" s="44"/>
      <x:c r="W33" s="44"/>
      <x:c r="X33" s="44"/>
      <x:c r="Y33" s="44"/>
      <x:c r="Z33" s="44"/>
      <x:c r="AA33" s="44"/>
      <x:c r="AB33" s="44"/>
      <x:c r="AC33" s="44"/>
      <x:c r="AD33" s="44"/>
      <x:c r="AE33" s="44"/>
      <x:c r="AF33" s="44"/>
      <x:c r="AG33" s="44"/>
      <x:c r="AH33" s="44"/>
      <x:c r="AI33" s="44"/>
      <x:c r="AJ33" s="44"/>
      <x:c r="AK33" s="44"/>
      <x:c r="AL33" s="44"/>
      <x:c r="AM33" s="44"/>
      <x:c r="AN33" s="44"/>
      <x:c r="AO33" s="44"/>
      <x:c r="AP33" s="44"/>
      <x:c r="AQ33" s="44"/>
      <x:c r="AR33" s="44"/>
      <x:c r="AS33" s="44"/>
      <x:c r="AT33" s="44"/>
      <x:c r="AU33" s="44"/>
      <x:c r="AV33" s="44"/>
      <x:c r="AW33" s="44"/>
      <x:c r="AX33" s="44"/>
      <x:c r="AY33" s="44"/>
      <x:c r="AZ33" s="44"/>
      <x:c r="BA33" s="44"/>
      <x:c r="BB33" s="44"/>
      <x:c r="BC33" s="44"/>
      <x:c r="BD33" s="44"/>
      <x:c r="BE33" s="44"/>
      <x:c r="BF33" s="44"/>
      <x:c r="BG33" s="44"/>
      <x:c r="BH33" s="44"/>
      <x:c r="BI33" s="44"/>
      <x:c r="BJ33" s="44"/>
      <x:c r="BK33" s="44"/>
      <x:c r="BL33" s="44"/>
      <x:c r="BM33" s="44"/>
      <x:c r="BN33" s="44"/>
      <x:c r="BO33" s="44"/>
      <x:c r="BP33" s="44"/>
      <x:c r="BQ33" s="44"/>
      <x:c r="BR33" s="44"/>
      <x:c r="BS33" s="44"/>
      <x:c r="BT33" s="44"/>
      <x:c r="BU33" s="44"/>
      <x:c r="BV33" s="44"/>
      <x:c r="BW33" s="44"/>
      <x:c r="BX33" s="44"/>
      <x:c r="BY33" s="44"/>
      <x:c r="BZ33" s="44"/>
      <x:c r="CA33" s="44"/>
      <x:c r="CB33" s="44"/>
      <x:c r="CC33" s="44"/>
      <x:c r="CD33" s="44"/>
      <x:c r="CE33" s="44"/>
      <x:c r="CF33" s="44"/>
      <x:c r="CG33" s="44"/>
      <x:c r="CH33" s="44"/>
      <x:c r="CI33" s="44"/>
    </x:row>
    <x:row r="34">
      <x:c r="R34" s="44"/>
      <x:c r="S34" s="44"/>
      <x:c r="T34" s="44"/>
      <x:c r="U34" s="44"/>
      <x:c r="V34" s="44"/>
      <x:c r="W34" s="44"/>
      <x:c r="X34" s="44"/>
      <x:c r="Y34" s="44"/>
      <x:c r="Z34" s="44"/>
      <x:c r="AA34" s="44"/>
      <x:c r="AB34" s="44"/>
      <x:c r="AC34" s="44"/>
      <x:c r="AD34" s="44"/>
      <x:c r="AE34" s="44"/>
      <x:c r="AF34" s="44"/>
      <x:c r="AG34" s="44"/>
      <x:c r="AH34" s="44"/>
      <x:c r="AI34" s="44"/>
      <x:c r="AJ34" s="44"/>
      <x:c r="AK34" s="44"/>
      <x:c r="AL34" s="44"/>
      <x:c r="AM34" s="44"/>
      <x:c r="AN34" s="44"/>
      <x:c r="AO34" s="44"/>
      <x:c r="AP34" s="44"/>
      <x:c r="AQ34" s="44"/>
      <x:c r="AR34" s="44"/>
      <x:c r="AS34" s="44"/>
      <x:c r="AT34" s="44"/>
      <x:c r="AU34" s="44"/>
      <x:c r="AV34" s="44"/>
      <x:c r="AW34" s="44"/>
      <x:c r="AX34" s="44"/>
      <x:c r="AY34" s="44"/>
      <x:c r="AZ34" s="44"/>
      <x:c r="BA34" s="44"/>
      <x:c r="BB34" s="44"/>
      <x:c r="BC34" s="44"/>
      <x:c r="BD34" s="44"/>
      <x:c r="BE34" s="44"/>
      <x:c r="BF34" s="44"/>
      <x:c r="BG34" s="44"/>
      <x:c r="BH34" s="44"/>
      <x:c r="BI34" s="44"/>
      <x:c r="BJ34" s="44"/>
      <x:c r="BK34" s="44"/>
      <x:c r="BL34" s="44"/>
      <x:c r="BM34" s="44"/>
      <x:c r="BN34" s="44"/>
      <x:c r="BO34" s="44"/>
      <x:c r="BP34" s="44"/>
      <x:c r="BQ34" s="44"/>
      <x:c r="BR34" s="44"/>
      <x:c r="BS34" s="44"/>
      <x:c r="BT34" s="44"/>
      <x:c r="BU34" s="44"/>
      <x:c r="BV34" s="44"/>
      <x:c r="BW34" s="44"/>
      <x:c r="BX34" s="44"/>
      <x:c r="BY34" s="44"/>
      <x:c r="BZ34" s="44"/>
      <x:c r="CA34" s="44"/>
      <x:c r="CB34" s="44"/>
      <x:c r="CC34" s="44"/>
      <x:c r="CD34" s="44"/>
      <x:c r="CE34" s="44"/>
      <x:c r="CF34" s="44"/>
      <x:c r="CG34" s="44"/>
      <x:c r="CH34" s="44"/>
      <x:c r="CI34" s="44"/>
    </x:row>
    <x:row r="35">
      <x:c r="R35" s="44"/>
      <x:c r="S35" s="44"/>
      <x:c r="T35" s="44"/>
      <x:c r="U35" s="44"/>
      <x:c r="V35" s="44"/>
      <x:c r="W35" s="44"/>
      <x:c r="X35" s="44"/>
      <x:c r="Y35" s="44"/>
      <x:c r="Z35" s="44"/>
      <x:c r="AA35" s="44"/>
      <x:c r="AB35" s="44"/>
      <x:c r="AC35" s="44"/>
      <x:c r="AD35" s="44"/>
      <x:c r="AE35" s="44"/>
      <x:c r="AF35" s="44"/>
      <x:c r="AG35" s="44"/>
      <x:c r="AH35" s="44"/>
      <x:c r="AI35" s="44"/>
      <x:c r="AJ35" s="44"/>
      <x:c r="AK35" s="44"/>
      <x:c r="AL35" s="44"/>
      <x:c r="AM35" s="44"/>
      <x:c r="AN35" s="44"/>
      <x:c r="AO35" s="44"/>
      <x:c r="AP35" s="44"/>
      <x:c r="AQ35" s="44"/>
      <x:c r="AR35" s="44"/>
      <x:c r="AS35" s="44"/>
      <x:c r="AT35" s="44"/>
      <x:c r="AU35" s="44"/>
      <x:c r="AV35" s="44"/>
      <x:c r="AW35" s="44"/>
      <x:c r="AX35" s="44"/>
      <x:c r="AY35" s="44"/>
      <x:c r="AZ35" s="44"/>
      <x:c r="BA35" s="44"/>
      <x:c r="BB35" s="44"/>
      <x:c r="BC35" s="44"/>
      <x:c r="BD35" s="44"/>
      <x:c r="BE35" s="44"/>
      <x:c r="BF35" s="44"/>
      <x:c r="BG35" s="44"/>
      <x:c r="BH35" s="44"/>
      <x:c r="BI35" s="44"/>
      <x:c r="BJ35" s="44"/>
      <x:c r="BK35" s="44"/>
      <x:c r="BL35" s="44"/>
      <x:c r="BM35" s="44"/>
      <x:c r="BN35" s="44"/>
      <x:c r="BO35" s="44"/>
      <x:c r="BP35" s="44"/>
      <x:c r="BQ35" s="44"/>
      <x:c r="BR35" s="44"/>
      <x:c r="BS35" s="44"/>
      <x:c r="BT35" s="44"/>
      <x:c r="BU35" s="44"/>
      <x:c r="BV35" s="44"/>
      <x:c r="BW35" s="44"/>
      <x:c r="BX35" s="44"/>
      <x:c r="BY35" s="44"/>
      <x:c r="BZ35" s="44"/>
      <x:c r="CA35" s="44"/>
      <x:c r="CB35" s="44"/>
      <x:c r="CC35" s="44"/>
      <x:c r="CD35" s="44"/>
      <x:c r="CE35" s="44"/>
      <x:c r="CF35" s="44"/>
      <x:c r="CG35" s="44"/>
      <x:c r="CH35" s="44"/>
      <x:c r="CI35" s="44"/>
    </x:row>
    <x:row r="36">
      <x:c r="R36" s="44"/>
      <x:c r="S36" s="44"/>
      <x:c r="T36" s="44"/>
      <x:c r="U36" s="44"/>
      <x:c r="V36" s="44"/>
      <x:c r="W36" s="44"/>
      <x:c r="X36" s="44"/>
      <x:c r="Y36" s="44"/>
      <x:c r="Z36" s="44"/>
      <x:c r="AA36" s="44"/>
      <x:c r="AB36" s="44"/>
      <x:c r="AC36" s="44"/>
      <x:c r="AD36" s="44"/>
      <x:c r="AE36" s="44"/>
      <x:c r="AF36" s="44"/>
      <x:c r="AG36" s="44"/>
      <x:c r="AH36" s="44"/>
      <x:c r="AI36" s="44"/>
      <x:c r="AJ36" s="44"/>
      <x:c r="AK36" s="44"/>
      <x:c r="AL36" s="44"/>
      <x:c r="AM36" s="44"/>
      <x:c r="AN36" s="44"/>
      <x:c r="AO36" s="44"/>
      <x:c r="AP36" s="44"/>
      <x:c r="AQ36" s="44"/>
      <x:c r="AR36" s="44"/>
      <x:c r="AS36" s="44"/>
      <x:c r="AT36" s="44"/>
      <x:c r="AU36" s="44"/>
      <x:c r="AV36" s="44"/>
      <x:c r="AW36" s="44"/>
      <x:c r="AX36" s="44"/>
      <x:c r="AY36" s="44"/>
      <x:c r="AZ36" s="44"/>
      <x:c r="BA36" s="44"/>
      <x:c r="BB36" s="44"/>
      <x:c r="BC36" s="44"/>
      <x:c r="BD36" s="44"/>
      <x:c r="BE36" s="44"/>
      <x:c r="BF36" s="44"/>
      <x:c r="BG36" s="44"/>
      <x:c r="BH36" s="44"/>
      <x:c r="BI36" s="44"/>
      <x:c r="BJ36" s="44"/>
      <x:c r="BK36" s="44"/>
      <x:c r="BL36" s="44"/>
      <x:c r="BM36" s="44"/>
      <x:c r="BN36" s="44"/>
      <x:c r="BO36" s="44"/>
      <x:c r="BP36" s="44"/>
      <x:c r="BQ36" s="44"/>
      <x:c r="BR36" s="44"/>
      <x:c r="BS36" s="44"/>
      <x:c r="BT36" s="44"/>
      <x:c r="BU36" s="44"/>
      <x:c r="BV36" s="44"/>
      <x:c r="BW36" s="44"/>
      <x:c r="BX36" s="44"/>
      <x:c r="BY36" s="44"/>
      <x:c r="BZ36" s="44"/>
      <x:c r="CA36" s="44"/>
      <x:c r="CB36" s="44"/>
      <x:c r="CC36" s="44"/>
      <x:c r="CD36" s="44"/>
      <x:c r="CE36" s="44"/>
      <x:c r="CF36" s="44"/>
      <x:c r="CG36" s="44"/>
      <x:c r="CH36" s="44"/>
      <x:c r="CI36" s="44"/>
    </x:row>
    <x:row r="37">
      <x:c r="R37" s="44"/>
      <x:c r="S37" s="44"/>
      <x:c r="T37" s="44"/>
      <x:c r="U37" s="44"/>
      <x:c r="V37" s="44"/>
      <x:c r="W37" s="44"/>
      <x:c r="X37" s="44"/>
      <x:c r="Y37" s="44"/>
      <x:c r="Z37" s="44"/>
      <x:c r="AA37" s="44"/>
      <x:c r="AB37" s="44"/>
      <x:c r="AC37" s="44"/>
      <x:c r="AD37" s="44"/>
      <x:c r="AE37" s="44"/>
      <x:c r="AF37" s="44"/>
      <x:c r="AG37" s="44"/>
      <x:c r="AH37" s="44"/>
      <x:c r="AI37" s="44"/>
      <x:c r="AJ37" s="44"/>
      <x:c r="AK37" s="44"/>
      <x:c r="AL37" s="44"/>
      <x:c r="AM37" s="44"/>
      <x:c r="AN37" s="44"/>
      <x:c r="AO37" s="44"/>
      <x:c r="AP37" s="44"/>
      <x:c r="AQ37" s="44"/>
      <x:c r="AR37" s="44"/>
      <x:c r="AS37" s="44"/>
      <x:c r="AT37" s="44"/>
      <x:c r="AU37" s="44"/>
      <x:c r="AV37" s="44"/>
      <x:c r="AW37" s="44"/>
      <x:c r="AX37" s="44"/>
      <x:c r="AY37" s="44"/>
      <x:c r="AZ37" s="44"/>
      <x:c r="BA37" s="44"/>
      <x:c r="BB37" s="44"/>
      <x:c r="BC37" s="44"/>
      <x:c r="BD37" s="44"/>
      <x:c r="BE37" s="44"/>
      <x:c r="BF37" s="44"/>
      <x:c r="BG37" s="44"/>
      <x:c r="BH37" s="44"/>
      <x:c r="BI37" s="44"/>
      <x:c r="BJ37" s="44"/>
      <x:c r="BK37" s="44"/>
      <x:c r="BL37" s="44"/>
      <x:c r="BM37" s="44"/>
      <x:c r="BN37" s="44"/>
      <x:c r="BO37" s="44"/>
      <x:c r="BP37" s="44"/>
      <x:c r="BQ37" s="44"/>
      <x:c r="BR37" s="44"/>
      <x:c r="BS37" s="44"/>
      <x:c r="BT37" s="44"/>
      <x:c r="BU37" s="44"/>
      <x:c r="BV37" s="44"/>
      <x:c r="BW37" s="44"/>
      <x:c r="BX37" s="44"/>
      <x:c r="BY37" s="44"/>
      <x:c r="BZ37" s="44"/>
      <x:c r="CA37" s="44"/>
      <x:c r="CB37" s="44"/>
      <x:c r="CC37" s="44"/>
      <x:c r="CD37" s="44"/>
      <x:c r="CE37" s="44"/>
      <x:c r="CF37" s="44"/>
      <x:c r="CG37" s="44"/>
      <x:c r="CH37" s="44"/>
      <x:c r="CI37" s="44"/>
    </x:row>
    <x:row r="38">
      <x:c r="R38" s="44"/>
      <x:c r="S38" s="44"/>
      <x:c r="T38" s="44"/>
      <x:c r="U38" s="44"/>
      <x:c r="V38" s="44"/>
      <x:c r="W38" s="44"/>
      <x:c r="X38" s="44"/>
      <x:c r="Y38" s="44"/>
      <x:c r="Z38" s="44"/>
      <x:c r="AA38" s="44"/>
      <x:c r="AB38" s="44"/>
      <x:c r="AC38" s="44"/>
      <x:c r="AD38" s="44"/>
      <x:c r="AE38" s="44"/>
      <x:c r="AF38" s="44"/>
      <x:c r="AG38" s="44"/>
      <x:c r="AH38" s="44"/>
      <x:c r="AI38" s="44"/>
      <x:c r="AJ38" s="44"/>
      <x:c r="AK38" s="44"/>
      <x:c r="AL38" s="44"/>
      <x:c r="AM38" s="44"/>
      <x:c r="AN38" s="44"/>
      <x:c r="AO38" s="44"/>
      <x:c r="AP38" s="44"/>
      <x:c r="AQ38" s="44"/>
      <x:c r="AR38" s="44"/>
      <x:c r="AS38" s="44"/>
      <x:c r="AT38" s="44"/>
      <x:c r="AU38" s="44"/>
      <x:c r="AV38" s="44"/>
      <x:c r="AW38" s="44"/>
      <x:c r="AX38" s="44"/>
      <x:c r="AY38" s="44"/>
      <x:c r="AZ38" s="44"/>
      <x:c r="BA38" s="44"/>
      <x:c r="BB38" s="44"/>
      <x:c r="BC38" s="44"/>
      <x:c r="BD38" s="44"/>
      <x:c r="BE38" s="44"/>
      <x:c r="BF38" s="44"/>
      <x:c r="BG38" s="44"/>
      <x:c r="BH38" s="44"/>
      <x:c r="BI38" s="44"/>
      <x:c r="BJ38" s="44"/>
      <x:c r="BK38" s="44"/>
      <x:c r="BL38" s="44"/>
      <x:c r="BM38" s="44"/>
      <x:c r="BN38" s="44"/>
      <x:c r="BO38" s="44"/>
      <x:c r="BP38" s="44"/>
      <x:c r="BQ38" s="44"/>
      <x:c r="BR38" s="44"/>
      <x:c r="BS38" s="44"/>
      <x:c r="BT38" s="44"/>
      <x:c r="BU38" s="44"/>
      <x:c r="BV38" s="44"/>
      <x:c r="BW38" s="44"/>
      <x:c r="BX38" s="44"/>
      <x:c r="BY38" s="44"/>
      <x:c r="BZ38" s="44"/>
      <x:c r="CA38" s="44"/>
      <x:c r="CB38" s="44"/>
      <x:c r="CC38" s="44"/>
      <x:c r="CD38" s="44"/>
      <x:c r="CE38" s="44"/>
      <x:c r="CF38" s="44"/>
      <x:c r="CG38" s="44"/>
      <x:c r="CH38" s="44"/>
      <x:c r="CI38" s="44"/>
    </x:row>
    <x:row r="39">
      <x:c r="R39" s="44"/>
      <x:c r="S39" s="44"/>
      <x:c r="T39" s="44"/>
      <x:c r="U39" s="44"/>
      <x:c r="V39" s="44"/>
      <x:c r="W39" s="44"/>
      <x:c r="X39" s="44"/>
      <x:c r="Y39" s="44"/>
      <x:c r="Z39" s="44"/>
      <x:c r="AA39" s="44"/>
      <x:c r="AB39" s="44"/>
      <x:c r="AC39" s="44"/>
      <x:c r="AD39" s="44"/>
      <x:c r="AE39" s="44"/>
      <x:c r="AF39" s="44"/>
      <x:c r="AG39" s="44"/>
      <x:c r="AH39" s="44"/>
      <x:c r="AI39" s="44"/>
      <x:c r="AJ39" s="44"/>
      <x:c r="AK39" s="44"/>
      <x:c r="AL39" s="44"/>
      <x:c r="AM39" s="44"/>
      <x:c r="AN39" s="44"/>
      <x:c r="AO39" s="44"/>
      <x:c r="AP39" s="44"/>
      <x:c r="AQ39" s="44"/>
      <x:c r="AR39" s="44"/>
      <x:c r="AS39" s="44"/>
      <x:c r="AT39" s="44"/>
      <x:c r="AU39" s="44"/>
      <x:c r="AV39" s="44"/>
      <x:c r="AW39" s="44"/>
      <x:c r="AX39" s="44"/>
      <x:c r="AY39" s="44"/>
      <x:c r="AZ39" s="44"/>
      <x:c r="BA39" s="44"/>
      <x:c r="BB39" s="44"/>
      <x:c r="BC39" s="44"/>
      <x:c r="BD39" s="44"/>
      <x:c r="BE39" s="44"/>
      <x:c r="BF39" s="44"/>
      <x:c r="BG39" s="44"/>
      <x:c r="BH39" s="44"/>
      <x:c r="BI39" s="44"/>
      <x:c r="BJ39" s="44"/>
      <x:c r="BK39" s="44"/>
      <x:c r="BL39" s="44"/>
      <x:c r="BM39" s="44"/>
      <x:c r="BN39" s="44"/>
      <x:c r="BO39" s="44"/>
      <x:c r="BP39" s="44"/>
      <x:c r="BQ39" s="44"/>
      <x:c r="BR39" s="44"/>
      <x:c r="BS39" s="44"/>
      <x:c r="BT39" s="44"/>
      <x:c r="BU39" s="44"/>
      <x:c r="BV39" s="44"/>
      <x:c r="BW39" s="44"/>
      <x:c r="BX39" s="44"/>
      <x:c r="BY39" s="44"/>
      <x:c r="BZ39" s="44"/>
      <x:c r="CA39" s="44"/>
      <x:c r="CB39" s="44"/>
      <x:c r="CC39" s="44"/>
      <x:c r="CD39" s="44"/>
      <x:c r="CE39" s="44"/>
      <x:c r="CF39" s="44"/>
      <x:c r="CG39" s="44"/>
      <x:c r="CH39" s="44"/>
      <x:c r="CI39" s="44"/>
    </x:row>
    <x:row r="40">
      <x:c r="R40" s="44"/>
      <x:c r="S40" s="44"/>
      <x:c r="T40" s="44"/>
      <x:c r="U40" s="44"/>
      <x:c r="V40" s="44"/>
      <x:c r="W40" s="44"/>
      <x:c r="X40" s="44"/>
      <x:c r="Y40" s="44"/>
      <x:c r="Z40" s="44"/>
      <x:c r="AA40" s="44"/>
      <x:c r="AB40" s="44"/>
      <x:c r="AC40" s="44"/>
      <x:c r="AD40" s="44"/>
      <x:c r="AE40" s="44"/>
      <x:c r="AF40" s="44"/>
      <x:c r="AG40" s="44"/>
      <x:c r="AH40" s="44"/>
      <x:c r="AI40" s="44"/>
      <x:c r="AJ40" s="44"/>
      <x:c r="AK40" s="44"/>
      <x:c r="AL40" s="44"/>
      <x:c r="AM40" s="44"/>
      <x:c r="AN40" s="44"/>
      <x:c r="AO40" s="44"/>
      <x:c r="AP40" s="44"/>
      <x:c r="AQ40" s="44"/>
      <x:c r="AR40" s="44"/>
      <x:c r="AS40" s="44"/>
      <x:c r="AT40" s="44"/>
      <x:c r="AU40" s="44"/>
      <x:c r="AV40" s="44"/>
      <x:c r="AW40" s="44"/>
      <x:c r="AX40" s="44"/>
      <x:c r="AY40" s="44"/>
      <x:c r="AZ40" s="44"/>
      <x:c r="BA40" s="44"/>
      <x:c r="BB40" s="44"/>
      <x:c r="BC40" s="44"/>
      <x:c r="BD40" s="44"/>
      <x:c r="BE40" s="44"/>
      <x:c r="BF40" s="44"/>
      <x:c r="BG40" s="44"/>
      <x:c r="BH40" s="44"/>
      <x:c r="BI40" s="44"/>
      <x:c r="BJ40" s="44"/>
      <x:c r="BK40" s="44"/>
      <x:c r="BL40" s="44"/>
      <x:c r="BM40" s="44"/>
      <x:c r="BN40" s="44"/>
      <x:c r="BO40" s="44"/>
      <x:c r="BP40" s="44"/>
      <x:c r="BQ40" s="44"/>
      <x:c r="BR40" s="44"/>
      <x:c r="BS40" s="44"/>
      <x:c r="BT40" s="44"/>
      <x:c r="BU40" s="44"/>
      <x:c r="BV40" s="44"/>
      <x:c r="BW40" s="44"/>
      <x:c r="BX40" s="44"/>
      <x:c r="BY40" s="44"/>
      <x:c r="BZ40" s="44"/>
      <x:c r="CA40" s="44"/>
      <x:c r="CB40" s="44"/>
      <x:c r="CC40" s="44"/>
      <x:c r="CD40" s="44"/>
      <x:c r="CE40" s="44"/>
      <x:c r="CF40" s="44"/>
      <x:c r="CG40" s="44"/>
      <x:c r="CH40" s="44"/>
      <x:c r="CI40" s="44"/>
    </x:row>
    <x:row r="41">
      <x:c r="R41" s="44"/>
      <x:c r="S41" s="44"/>
      <x:c r="T41" s="44"/>
      <x:c r="U41" s="44"/>
      <x:c r="V41" s="44"/>
      <x:c r="W41" s="44"/>
      <x:c r="X41" s="44"/>
      <x:c r="Y41" s="44"/>
      <x:c r="Z41" s="44"/>
      <x:c r="AA41" s="44"/>
      <x:c r="AB41" s="44"/>
      <x:c r="AC41" s="44"/>
      <x:c r="AD41" s="44"/>
      <x:c r="AE41" s="44"/>
      <x:c r="AF41" s="44"/>
      <x:c r="AG41" s="44"/>
      <x:c r="AH41" s="44"/>
      <x:c r="AI41" s="44"/>
      <x:c r="AJ41" s="44"/>
      <x:c r="AK41" s="44"/>
      <x:c r="AL41" s="44"/>
      <x:c r="AM41" s="44"/>
      <x:c r="AN41" s="44"/>
      <x:c r="AO41" s="44"/>
      <x:c r="AP41" s="44"/>
      <x:c r="AQ41" s="44"/>
      <x:c r="AR41" s="44"/>
      <x:c r="AS41" s="44"/>
      <x:c r="AT41" s="44"/>
      <x:c r="AU41" s="44"/>
      <x:c r="AV41" s="44"/>
      <x:c r="AW41" s="44"/>
      <x:c r="AX41" s="44"/>
      <x:c r="AY41" s="44"/>
      <x:c r="AZ41" s="44"/>
      <x:c r="BA41" s="44"/>
      <x:c r="BB41" s="44"/>
      <x:c r="BC41" s="44"/>
      <x:c r="BD41" s="44"/>
      <x:c r="BE41" s="44"/>
      <x:c r="BF41" s="44"/>
      <x:c r="BG41" s="44"/>
      <x:c r="BH41" s="44"/>
      <x:c r="BI41" s="44"/>
      <x:c r="BJ41" s="44"/>
      <x:c r="BK41" s="44"/>
      <x:c r="BL41" s="44"/>
      <x:c r="BM41" s="44"/>
      <x:c r="BN41" s="44"/>
      <x:c r="BO41" s="44"/>
      <x:c r="BP41" s="44"/>
      <x:c r="BQ41" s="44"/>
      <x:c r="BR41" s="44"/>
      <x:c r="BS41" s="44"/>
      <x:c r="BT41" s="44"/>
      <x:c r="BU41" s="44"/>
      <x:c r="BV41" s="44"/>
      <x:c r="BW41" s="44"/>
      <x:c r="BX41" s="44"/>
      <x:c r="BY41" s="44"/>
      <x:c r="BZ41" s="44"/>
      <x:c r="CA41" s="44"/>
      <x:c r="CB41" s="44"/>
      <x:c r="CC41" s="44"/>
      <x:c r="CD41" s="44"/>
      <x:c r="CE41" s="44"/>
      <x:c r="CF41" s="44"/>
      <x:c r="CG41" s="44"/>
      <x:c r="CH41" s="44"/>
      <x:c r="CI41" s="44"/>
    </x:row>
    <x:row r="42">
      <x:c r="R42" s="44"/>
      <x:c r="S42" s="44"/>
      <x:c r="T42" s="44"/>
      <x:c r="U42" s="44"/>
      <x:c r="V42" s="44"/>
      <x:c r="W42" s="44"/>
      <x:c r="X42" s="44"/>
      <x:c r="Y42" s="44"/>
      <x:c r="Z42" s="44"/>
      <x:c r="AA42" s="44"/>
      <x:c r="AB42" s="44"/>
      <x:c r="AC42" s="44"/>
      <x:c r="AD42" s="44"/>
      <x:c r="AE42" s="44"/>
      <x:c r="AF42" s="44"/>
      <x:c r="AG42" s="44"/>
      <x:c r="AH42" s="44"/>
      <x:c r="AI42" s="44"/>
      <x:c r="AJ42" s="44"/>
      <x:c r="AK42" s="44"/>
      <x:c r="AL42" s="44"/>
      <x:c r="AM42" s="44"/>
      <x:c r="AN42" s="44"/>
      <x:c r="AO42" s="44"/>
      <x:c r="AP42" s="44"/>
      <x:c r="AQ42" s="44"/>
      <x:c r="AR42" s="44"/>
      <x:c r="AS42" s="44"/>
      <x:c r="AT42" s="44"/>
      <x:c r="AU42" s="44"/>
      <x:c r="AV42" s="44"/>
      <x:c r="AW42" s="44"/>
      <x:c r="AX42" s="44"/>
      <x:c r="AY42" s="44"/>
      <x:c r="AZ42" s="44"/>
      <x:c r="BA42" s="44"/>
      <x:c r="BB42" s="44"/>
      <x:c r="BC42" s="44"/>
      <x:c r="BD42" s="44"/>
      <x:c r="BE42" s="44"/>
      <x:c r="BF42" s="44"/>
      <x:c r="BG42" s="44"/>
      <x:c r="BH42" s="44"/>
      <x:c r="BI42" s="44"/>
      <x:c r="BJ42" s="44"/>
      <x:c r="BK42" s="44"/>
      <x:c r="BL42" s="44"/>
      <x:c r="BM42" s="44"/>
      <x:c r="BN42" s="44"/>
      <x:c r="BO42" s="44"/>
      <x:c r="BP42" s="44"/>
      <x:c r="BQ42" s="44"/>
      <x:c r="BR42" s="44"/>
      <x:c r="BS42" s="44"/>
      <x:c r="BT42" s="44"/>
      <x:c r="BU42" s="44"/>
      <x:c r="BV42" s="44"/>
      <x:c r="BW42" s="44"/>
      <x:c r="BX42" s="44"/>
      <x:c r="BY42" s="44"/>
      <x:c r="BZ42" s="44"/>
      <x:c r="CA42" s="44"/>
      <x:c r="CB42" s="44"/>
      <x:c r="CC42" s="44"/>
      <x:c r="CD42" s="44"/>
      <x:c r="CE42" s="44"/>
      <x:c r="CF42" s="44"/>
      <x:c r="CG42" s="44"/>
      <x:c r="CH42" s="44"/>
      <x:c r="CI42" s="44"/>
    </x:row>
    <x:row r="43">
      <x:c r="R43" s="44"/>
      <x:c r="S43" s="44"/>
      <x:c r="T43" s="44"/>
      <x:c r="U43" s="44"/>
      <x:c r="V43" s="44"/>
      <x:c r="W43" s="44"/>
      <x:c r="X43" s="44"/>
      <x:c r="Y43" s="44"/>
      <x:c r="Z43" s="44"/>
      <x:c r="AA43" s="44"/>
      <x:c r="AB43" s="44"/>
      <x:c r="AC43" s="44"/>
      <x:c r="AD43" s="44"/>
      <x:c r="AE43" s="44"/>
      <x:c r="AF43" s="44"/>
      <x:c r="AG43" s="44"/>
      <x:c r="AH43" s="44"/>
      <x:c r="AI43" s="44"/>
      <x:c r="AJ43" s="44"/>
      <x:c r="AK43" s="44"/>
      <x:c r="AL43" s="44"/>
      <x:c r="AM43" s="44"/>
      <x:c r="AN43" s="44"/>
      <x:c r="AO43" s="44"/>
      <x:c r="AP43" s="44"/>
      <x:c r="AQ43" s="44"/>
      <x:c r="AR43" s="44"/>
      <x:c r="AS43" s="44"/>
      <x:c r="AT43" s="44"/>
      <x:c r="AU43" s="44"/>
      <x:c r="AV43" s="44"/>
      <x:c r="AW43" s="44"/>
      <x:c r="AX43" s="44"/>
      <x:c r="AY43" s="44"/>
      <x:c r="AZ43" s="44"/>
      <x:c r="BA43" s="44"/>
      <x:c r="BB43" s="44"/>
      <x:c r="BC43" s="44"/>
      <x:c r="BD43" s="44"/>
      <x:c r="BE43" s="44"/>
      <x:c r="BF43" s="44"/>
      <x:c r="BG43" s="44"/>
      <x:c r="BH43" s="44"/>
      <x:c r="BI43" s="44"/>
      <x:c r="BJ43" s="44"/>
      <x:c r="BK43" s="44"/>
      <x:c r="BL43" s="44"/>
      <x:c r="BM43" s="44"/>
      <x:c r="BN43" s="44"/>
      <x:c r="BO43" s="44"/>
      <x:c r="BP43" s="44"/>
      <x:c r="BQ43" s="44"/>
      <x:c r="BR43" s="44"/>
      <x:c r="BS43" s="44"/>
      <x:c r="BT43" s="44"/>
      <x:c r="BU43" s="44"/>
      <x:c r="BV43" s="44"/>
      <x:c r="BW43" s="44"/>
      <x:c r="BX43" s="44"/>
      <x:c r="BY43" s="44"/>
      <x:c r="BZ43" s="44"/>
      <x:c r="CA43" s="44"/>
      <x:c r="CB43" s="44"/>
      <x:c r="CC43" s="44"/>
      <x:c r="CD43" s="44"/>
      <x:c r="CE43" s="44"/>
      <x:c r="CF43" s="44"/>
      <x:c r="CG43" s="44"/>
      <x:c r="CH43" s="44"/>
      <x:c r="CI43" s="44"/>
    </x:row>
    <x:row r="44">
      <x:c r="R44" s="44"/>
      <x:c r="S44" s="44"/>
      <x:c r="T44" s="44"/>
      <x:c r="U44" s="44"/>
      <x:c r="V44" s="44"/>
      <x:c r="W44" s="44"/>
      <x:c r="X44" s="44"/>
      <x:c r="Y44" s="44"/>
      <x:c r="Z44" s="44"/>
      <x:c r="AA44" s="44"/>
      <x:c r="AB44" s="44"/>
      <x:c r="AC44" s="44"/>
      <x:c r="AD44" s="44"/>
      <x:c r="AE44" s="44"/>
      <x:c r="AF44" s="44"/>
      <x:c r="AG44" s="44"/>
      <x:c r="AH44" s="44"/>
      <x:c r="AI44" s="44"/>
      <x:c r="AJ44" s="44"/>
      <x:c r="AK44" s="44"/>
      <x:c r="AL44" s="44"/>
      <x:c r="AM44" s="44"/>
      <x:c r="AN44" s="44"/>
      <x:c r="AO44" s="44"/>
      <x:c r="AP44" s="44"/>
      <x:c r="AQ44" s="44"/>
      <x:c r="AR44" s="44"/>
      <x:c r="AS44" s="44"/>
      <x:c r="AT44" s="44"/>
      <x:c r="AU44" s="44"/>
      <x:c r="AV44" s="44"/>
      <x:c r="AW44" s="44"/>
      <x:c r="AX44" s="44"/>
      <x:c r="AY44" s="44"/>
      <x:c r="AZ44" s="44"/>
      <x:c r="BA44" s="44"/>
      <x:c r="BB44" s="44"/>
      <x:c r="BC44" s="44"/>
      <x:c r="BD44" s="44"/>
      <x:c r="BE44" s="44"/>
      <x:c r="BF44" s="44"/>
      <x:c r="BG44" s="44"/>
      <x:c r="BH44" s="44"/>
      <x:c r="BI44" s="44"/>
      <x:c r="BJ44" s="44"/>
      <x:c r="BK44" s="44"/>
      <x:c r="BL44" s="44"/>
      <x:c r="BM44" s="44"/>
      <x:c r="BN44" s="44"/>
      <x:c r="BO44" s="44"/>
      <x:c r="BP44" s="44"/>
      <x:c r="BQ44" s="44"/>
      <x:c r="BR44" s="44"/>
      <x:c r="BS44" s="44"/>
      <x:c r="BT44" s="44"/>
      <x:c r="BU44" s="44"/>
      <x:c r="BV44" s="44"/>
      <x:c r="BW44" s="44"/>
      <x:c r="BX44" s="44"/>
      <x:c r="BY44" s="44"/>
      <x:c r="BZ44" s="44"/>
      <x:c r="CA44" s="44"/>
      <x:c r="CB44" s="44"/>
      <x:c r="CC44" s="44"/>
      <x:c r="CD44" s="44"/>
      <x:c r="CE44" s="44"/>
      <x:c r="CF44" s="44"/>
      <x:c r="CG44" s="44"/>
      <x:c r="CH44" s="44"/>
      <x:c r="CI44" s="44"/>
    </x:row>
    <x:row r="45">
      <x:c r="R45" s="44"/>
      <x:c r="S45" s="44"/>
      <x:c r="T45" s="44"/>
      <x:c r="U45" s="44"/>
      <x:c r="V45" s="44"/>
      <x:c r="W45" s="44"/>
      <x:c r="X45" s="44"/>
      <x:c r="Y45" s="44"/>
      <x:c r="Z45" s="44"/>
      <x:c r="AA45" s="44"/>
      <x:c r="AB45" s="44"/>
      <x:c r="AC45" s="44"/>
      <x:c r="AD45" s="44"/>
      <x:c r="AE45" s="44"/>
      <x:c r="AF45" s="44"/>
      <x:c r="AG45" s="44"/>
      <x:c r="AH45" s="44"/>
      <x:c r="AI45" s="44"/>
      <x:c r="AJ45" s="44"/>
      <x:c r="AK45" s="44"/>
      <x:c r="AL45" s="44"/>
      <x:c r="AM45" s="44"/>
      <x:c r="AN45" s="44"/>
      <x:c r="AO45" s="44"/>
      <x:c r="AP45" s="44"/>
      <x:c r="AQ45" s="44"/>
      <x:c r="AR45" s="44"/>
      <x:c r="AS45" s="44"/>
      <x:c r="AT45" s="44"/>
      <x:c r="AU45" s="44"/>
      <x:c r="AV45" s="44"/>
      <x:c r="AW45" s="44"/>
      <x:c r="AX45" s="44"/>
      <x:c r="AY45" s="44"/>
      <x:c r="AZ45" s="44"/>
      <x:c r="BA45" s="44"/>
      <x:c r="BB45" s="44"/>
      <x:c r="BC45" s="44"/>
      <x:c r="BD45" s="44"/>
      <x:c r="BE45" s="44"/>
      <x:c r="BF45" s="44"/>
      <x:c r="BG45" s="44"/>
      <x:c r="BH45" s="44"/>
      <x:c r="BI45" s="44"/>
      <x:c r="BJ45" s="44"/>
      <x:c r="BK45" s="44"/>
      <x:c r="BL45" s="44"/>
      <x:c r="BM45" s="44"/>
      <x:c r="BN45" s="44"/>
      <x:c r="BO45" s="44"/>
      <x:c r="BP45" s="44"/>
      <x:c r="BQ45" s="44"/>
      <x:c r="BR45" s="44"/>
      <x:c r="BS45" s="44"/>
      <x:c r="BT45" s="44"/>
      <x:c r="BU45" s="44"/>
      <x:c r="BV45" s="44"/>
      <x:c r="BW45" s="44"/>
      <x:c r="BX45" s="44"/>
      <x:c r="BY45" s="44"/>
      <x:c r="BZ45" s="44"/>
      <x:c r="CA45" s="44"/>
      <x:c r="CB45" s="44"/>
      <x:c r="CC45" s="44"/>
      <x:c r="CD45" s="44"/>
      <x:c r="CE45" s="44"/>
      <x:c r="CF45" s="44"/>
      <x:c r="CG45" s="44"/>
      <x:c r="CH45" s="44"/>
      <x:c r="CI45" s="44"/>
    </x:row>
    <x:row r="46">
      <x:c r="R46" s="44"/>
      <x:c r="S46" s="44"/>
      <x:c r="T46" s="44"/>
      <x:c r="U46" s="44"/>
      <x:c r="V46" s="44"/>
      <x:c r="W46" s="44"/>
      <x:c r="X46" s="44"/>
      <x:c r="Y46" s="44"/>
      <x:c r="Z46" s="44"/>
      <x:c r="AA46" s="44"/>
      <x:c r="AB46" s="44"/>
      <x:c r="AC46" s="44"/>
      <x:c r="AD46" s="44"/>
      <x:c r="AE46" s="44"/>
      <x:c r="AF46" s="44"/>
      <x:c r="AG46" s="44"/>
      <x:c r="AH46" s="44"/>
      <x:c r="AI46" s="44"/>
      <x:c r="AJ46" s="44"/>
      <x:c r="AK46" s="44"/>
      <x:c r="AL46" s="44"/>
      <x:c r="AM46" s="44"/>
      <x:c r="AN46" s="44"/>
      <x:c r="AO46" s="44"/>
      <x:c r="AP46" s="44"/>
      <x:c r="AQ46" s="44"/>
      <x:c r="AR46" s="44"/>
      <x:c r="AS46" s="44"/>
      <x:c r="AT46" s="44"/>
      <x:c r="AU46" s="44"/>
      <x:c r="AV46" s="44"/>
      <x:c r="AW46" s="44"/>
      <x:c r="AX46" s="44"/>
      <x:c r="AY46" s="44"/>
      <x:c r="AZ46" s="44"/>
      <x:c r="BA46" s="44"/>
      <x:c r="BB46" s="44"/>
      <x:c r="BC46" s="44"/>
      <x:c r="BD46" s="44"/>
      <x:c r="BE46" s="44"/>
      <x:c r="BF46" s="44"/>
      <x:c r="BG46" s="44"/>
      <x:c r="BH46" s="44"/>
      <x:c r="BI46" s="44"/>
      <x:c r="BJ46" s="44"/>
      <x:c r="BK46" s="44"/>
      <x:c r="BL46" s="44"/>
      <x:c r="BM46" s="44"/>
      <x:c r="BN46" s="44"/>
      <x:c r="BO46" s="44"/>
      <x:c r="BP46" s="44"/>
      <x:c r="BQ46" s="44"/>
      <x:c r="BR46" s="44"/>
      <x:c r="BS46" s="44"/>
      <x:c r="BT46" s="44"/>
      <x:c r="BU46" s="44"/>
      <x:c r="BV46" s="44"/>
      <x:c r="BW46" s="44"/>
      <x:c r="BX46" s="44"/>
      <x:c r="BY46" s="44"/>
      <x:c r="BZ46" s="44"/>
      <x:c r="CA46" s="44"/>
      <x:c r="CB46" s="44"/>
      <x:c r="CC46" s="44"/>
      <x:c r="CD46" s="44"/>
      <x:c r="CE46" s="44"/>
      <x:c r="CF46" s="44"/>
      <x:c r="CG46" s="44"/>
      <x:c r="CH46" s="44"/>
      <x:c r="CI46" s="44"/>
    </x:row>
    <x:row r="47">
      <x:c r="R47" s="44"/>
      <x:c r="S47" s="44"/>
      <x:c r="T47" s="44"/>
      <x:c r="U47" s="44"/>
      <x:c r="V47" s="44"/>
      <x:c r="W47" s="44"/>
      <x:c r="X47" s="44"/>
      <x:c r="Y47" s="44"/>
      <x:c r="Z47" s="44"/>
      <x:c r="AA47" s="44"/>
      <x:c r="AB47" s="44"/>
      <x:c r="AC47" s="44"/>
      <x:c r="AD47" s="44"/>
      <x:c r="AE47" s="44"/>
      <x:c r="AF47" s="44"/>
      <x:c r="AG47" s="44"/>
      <x:c r="AH47" s="44"/>
      <x:c r="AI47" s="44"/>
      <x:c r="AJ47" s="44"/>
      <x:c r="AK47" s="44"/>
      <x:c r="AL47" s="44"/>
      <x:c r="AM47" s="44"/>
      <x:c r="AN47" s="44"/>
      <x:c r="AO47" s="44"/>
      <x:c r="AP47" s="44"/>
      <x:c r="AQ47" s="44"/>
      <x:c r="AR47" s="44"/>
      <x:c r="AS47" s="44"/>
      <x:c r="AT47" s="44"/>
      <x:c r="AU47" s="44"/>
      <x:c r="AV47" s="44"/>
      <x:c r="AW47" s="44"/>
      <x:c r="AX47" s="44"/>
      <x:c r="AY47" s="44"/>
      <x:c r="AZ47" s="44"/>
      <x:c r="BA47" s="44"/>
      <x:c r="BB47" s="44"/>
      <x:c r="BC47" s="44"/>
      <x:c r="BD47" s="44"/>
      <x:c r="BE47" s="44"/>
      <x:c r="BF47" s="44"/>
      <x:c r="BG47" s="44"/>
      <x:c r="BH47" s="44"/>
      <x:c r="BI47" s="44"/>
      <x:c r="BJ47" s="44"/>
      <x:c r="BK47" s="44"/>
      <x:c r="BL47" s="44"/>
      <x:c r="BM47" s="44"/>
      <x:c r="BN47" s="44"/>
      <x:c r="BO47" s="44"/>
      <x:c r="BP47" s="44"/>
      <x:c r="BQ47" s="44"/>
      <x:c r="BR47" s="44"/>
      <x:c r="BS47" s="44"/>
      <x:c r="BT47" s="44"/>
      <x:c r="BU47" s="44"/>
      <x:c r="BV47" s="44"/>
      <x:c r="BW47" s="44"/>
      <x:c r="BX47" s="44"/>
      <x:c r="BY47" s="44"/>
      <x:c r="BZ47" s="44"/>
      <x:c r="CA47" s="44"/>
      <x:c r="CB47" s="44"/>
      <x:c r="CC47" s="44"/>
      <x:c r="CD47" s="44"/>
      <x:c r="CE47" s="44"/>
      <x:c r="CF47" s="44"/>
      <x:c r="CG47" s="44"/>
      <x:c r="CH47" s="44"/>
      <x:c r="CI47" s="44"/>
    </x:row>
    <x:row r="48">
      <x:c r="R48" s="44"/>
      <x:c r="S48" s="44"/>
      <x:c r="T48" s="44"/>
      <x:c r="U48" s="44"/>
      <x:c r="V48" s="44"/>
      <x:c r="W48" s="44"/>
      <x:c r="X48" s="44"/>
      <x:c r="Y48" s="44"/>
      <x:c r="Z48" s="44"/>
      <x:c r="AA48" s="44"/>
      <x:c r="AB48" s="44"/>
      <x:c r="AC48" s="44"/>
      <x:c r="AD48" s="44"/>
      <x:c r="AE48" s="44"/>
      <x:c r="AF48" s="44"/>
      <x:c r="AG48" s="44"/>
      <x:c r="AH48" s="44"/>
      <x:c r="AI48" s="44"/>
      <x:c r="AJ48" s="44"/>
      <x:c r="AK48" s="44"/>
      <x:c r="AL48" s="44"/>
      <x:c r="AM48" s="44"/>
      <x:c r="AN48" s="44"/>
      <x:c r="AO48" s="44"/>
      <x:c r="AP48" s="44"/>
      <x:c r="AQ48" s="44"/>
      <x:c r="AR48" s="44"/>
      <x:c r="AS48" s="44"/>
      <x:c r="AT48" s="44"/>
      <x:c r="AU48" s="44"/>
      <x:c r="AV48" s="44"/>
      <x:c r="AW48" s="44"/>
      <x:c r="AX48" s="44"/>
      <x:c r="AY48" s="44"/>
      <x:c r="AZ48" s="44"/>
      <x:c r="BA48" s="44"/>
      <x:c r="BB48" s="44"/>
      <x:c r="BC48" s="44"/>
      <x:c r="BD48" s="44"/>
      <x:c r="BE48" s="44"/>
      <x:c r="BF48" s="44"/>
      <x:c r="BG48" s="44"/>
      <x:c r="BH48" s="44"/>
      <x:c r="BI48" s="44"/>
      <x:c r="BJ48" s="44"/>
      <x:c r="BK48" s="44"/>
      <x:c r="BL48" s="44"/>
      <x:c r="BM48" s="44"/>
      <x:c r="BN48" s="44"/>
      <x:c r="BO48" s="44"/>
      <x:c r="BP48" s="44"/>
      <x:c r="BQ48" s="44"/>
      <x:c r="BR48" s="44"/>
      <x:c r="BS48" s="44"/>
      <x:c r="BT48" s="44"/>
      <x:c r="BU48" s="44"/>
      <x:c r="BV48" s="44"/>
      <x:c r="BW48" s="44"/>
      <x:c r="BX48" s="44"/>
      <x:c r="BY48" s="44"/>
      <x:c r="BZ48" s="44"/>
      <x:c r="CA48" s="44"/>
      <x:c r="CB48" s="44"/>
      <x:c r="CC48" s="44"/>
      <x:c r="CD48" s="44"/>
      <x:c r="CE48" s="44"/>
      <x:c r="CF48" s="44"/>
      <x:c r="CG48" s="44"/>
      <x:c r="CH48" s="44"/>
      <x:c r="CI48" s="44"/>
    </x:row>
    <x:row r="49">
      <x:c r="R49" s="44"/>
      <x:c r="S49" s="44"/>
      <x:c r="T49" s="44"/>
      <x:c r="U49" s="44"/>
      <x:c r="V49" s="44"/>
      <x:c r="W49" s="44"/>
      <x:c r="X49" s="44"/>
      <x:c r="Y49" s="44"/>
      <x:c r="Z49" s="44"/>
      <x:c r="AA49" s="44"/>
      <x:c r="AB49" s="44"/>
      <x:c r="AC49" s="44"/>
      <x:c r="AD49" s="44"/>
      <x:c r="AE49" s="44"/>
      <x:c r="AF49" s="44"/>
      <x:c r="AG49" s="44"/>
      <x:c r="AH49" s="44"/>
      <x:c r="AI49" s="44"/>
      <x:c r="AJ49" s="44"/>
      <x:c r="AK49" s="44"/>
      <x:c r="AL49" s="44"/>
      <x:c r="AM49" s="44"/>
      <x:c r="AN49" s="44"/>
      <x:c r="AO49" s="44"/>
      <x:c r="AP49" s="44"/>
      <x:c r="AQ49" s="44"/>
      <x:c r="AR49" s="44"/>
      <x:c r="AS49" s="44"/>
      <x:c r="AT49" s="44"/>
      <x:c r="AU49" s="44"/>
      <x:c r="AV49" s="44"/>
      <x:c r="AW49" s="44"/>
      <x:c r="AX49" s="44"/>
      <x:c r="AY49" s="44"/>
      <x:c r="AZ49" s="44"/>
      <x:c r="BA49" s="44"/>
      <x:c r="BB49" s="44"/>
      <x:c r="BC49" s="44"/>
      <x:c r="BD49" s="44"/>
      <x:c r="BE49" s="44"/>
      <x:c r="BF49" s="44"/>
      <x:c r="BG49" s="44"/>
      <x:c r="BH49" s="44"/>
      <x:c r="BI49" s="44"/>
      <x:c r="BJ49" s="44"/>
      <x:c r="BK49" s="44"/>
      <x:c r="BL49" s="44"/>
      <x:c r="BM49" s="44"/>
      <x:c r="BN49" s="44"/>
      <x:c r="BO49" s="44"/>
      <x:c r="BP49" s="44"/>
      <x:c r="BQ49" s="44"/>
      <x:c r="BR49" s="44"/>
      <x:c r="BS49" s="44"/>
      <x:c r="BT49" s="44"/>
      <x:c r="BU49" s="44"/>
      <x:c r="BV49" s="44"/>
      <x:c r="BW49" s="44"/>
      <x:c r="BX49" s="44"/>
      <x:c r="BY49" s="44"/>
      <x:c r="BZ49" s="44"/>
      <x:c r="CA49" s="44"/>
      <x:c r="CB49" s="44"/>
      <x:c r="CC49" s="44"/>
      <x:c r="CD49" s="44"/>
      <x:c r="CE49" s="44"/>
      <x:c r="CF49" s="44"/>
      <x:c r="CG49" s="44"/>
      <x:c r="CH49" s="44"/>
      <x:c r="CI49" s="44"/>
    </x:row>
    <x:row r="50">
      <x:c r="R50" s="44"/>
      <x:c r="S50" s="44"/>
      <x:c r="T50" s="44"/>
      <x:c r="U50" s="44"/>
      <x:c r="V50" s="44"/>
      <x:c r="W50" s="44"/>
      <x:c r="X50" s="44"/>
      <x:c r="Y50" s="44"/>
      <x:c r="Z50" s="44"/>
      <x:c r="AA50" s="44"/>
      <x:c r="AB50" s="44"/>
      <x:c r="AC50" s="44"/>
      <x:c r="AD50" s="44"/>
      <x:c r="AE50" s="44"/>
      <x:c r="AF50" s="44"/>
      <x:c r="AG50" s="44"/>
      <x:c r="AH50" s="44"/>
      <x:c r="AI50" s="44"/>
      <x:c r="AJ50" s="44"/>
      <x:c r="AK50" s="44"/>
      <x:c r="AL50" s="44"/>
      <x:c r="AM50" s="44"/>
      <x:c r="AN50" s="44"/>
      <x:c r="AO50" s="44"/>
      <x:c r="AP50" s="44"/>
      <x:c r="AQ50" s="44"/>
      <x:c r="AR50" s="44"/>
      <x:c r="AS50" s="44"/>
      <x:c r="AT50" s="44"/>
      <x:c r="AU50" s="44"/>
      <x:c r="AV50" s="44"/>
      <x:c r="AW50" s="44"/>
      <x:c r="AX50" s="44"/>
      <x:c r="AY50" s="44"/>
      <x:c r="AZ50" s="44"/>
      <x:c r="BA50" s="44"/>
      <x:c r="BB50" s="44"/>
      <x:c r="BC50" s="44"/>
      <x:c r="BD50" s="44"/>
      <x:c r="BE50" s="44"/>
      <x:c r="BF50" s="44"/>
      <x:c r="BG50" s="44"/>
      <x:c r="BH50" s="44"/>
      <x:c r="BI50" s="44"/>
      <x:c r="BJ50" s="44"/>
      <x:c r="BK50" s="44"/>
      <x:c r="BL50" s="44"/>
      <x:c r="BM50" s="44"/>
      <x:c r="BN50" s="44"/>
      <x:c r="BO50" s="44"/>
      <x:c r="BP50" s="44"/>
      <x:c r="BQ50" s="44"/>
      <x:c r="BR50" s="44"/>
      <x:c r="BS50" s="44"/>
      <x:c r="BT50" s="44"/>
      <x:c r="BU50" s="44"/>
      <x:c r="BV50" s="44"/>
      <x:c r="BW50" s="44"/>
      <x:c r="BX50" s="44"/>
      <x:c r="BY50" s="44"/>
      <x:c r="BZ50" s="44"/>
      <x:c r="CA50" s="44"/>
      <x:c r="CB50" s="44"/>
      <x:c r="CC50" s="44"/>
      <x:c r="CD50" s="44"/>
      <x:c r="CE50" s="44"/>
      <x:c r="CF50" s="44"/>
      <x:c r="CG50" s="44"/>
      <x:c r="CH50" s="44"/>
      <x:c r="CI50" s="44"/>
    </x:row>
    <x:row r="51">
      <x:c r="R51" s="44"/>
      <x:c r="S51" s="44"/>
      <x:c r="T51" s="44"/>
      <x:c r="U51" s="44"/>
      <x:c r="V51" s="44"/>
      <x:c r="W51" s="44"/>
      <x:c r="X51" s="44"/>
      <x:c r="Y51" s="44"/>
      <x:c r="Z51" s="44"/>
      <x:c r="AA51" s="44"/>
      <x:c r="AB51" s="44"/>
      <x:c r="AC51" s="44"/>
      <x:c r="AD51" s="44"/>
      <x:c r="AE51" s="44"/>
      <x:c r="AF51" s="44"/>
      <x:c r="AG51" s="44"/>
      <x:c r="AH51" s="44"/>
      <x:c r="AI51" s="44"/>
      <x:c r="AJ51" s="44"/>
      <x:c r="AK51" s="44"/>
      <x:c r="AL51" s="44"/>
      <x:c r="AM51" s="44"/>
      <x:c r="AN51" s="44"/>
      <x:c r="AO51" s="44"/>
      <x:c r="AP51" s="44"/>
      <x:c r="AQ51" s="44"/>
      <x:c r="AR51" s="44"/>
      <x:c r="AS51" s="44"/>
      <x:c r="AT51" s="44"/>
      <x:c r="AU51" s="44"/>
      <x:c r="AV51" s="44"/>
      <x:c r="AW51" s="44"/>
      <x:c r="AX51" s="44"/>
      <x:c r="AY51" s="44"/>
      <x:c r="AZ51" s="44"/>
      <x:c r="BA51" s="44"/>
      <x:c r="BB51" s="44"/>
      <x:c r="BC51" s="44"/>
      <x:c r="BD51" s="44"/>
      <x:c r="BE51" s="44"/>
      <x:c r="BF51" s="44"/>
      <x:c r="BG51" s="44"/>
      <x:c r="BH51" s="44"/>
      <x:c r="BI51" s="44"/>
      <x:c r="BJ51" s="44"/>
      <x:c r="BK51" s="44"/>
      <x:c r="BL51" s="44"/>
      <x:c r="BM51" s="44"/>
      <x:c r="BN51" s="44"/>
      <x:c r="BO51" s="44"/>
      <x:c r="BP51" s="44"/>
      <x:c r="BQ51" s="44"/>
      <x:c r="BR51" s="44"/>
      <x:c r="BS51" s="44"/>
      <x:c r="BT51" s="44"/>
      <x:c r="BU51" s="44"/>
      <x:c r="BV51" s="44"/>
      <x:c r="BW51" s="44"/>
      <x:c r="BX51" s="44"/>
      <x:c r="BY51" s="44"/>
      <x:c r="BZ51" s="44"/>
      <x:c r="CA51" s="44"/>
      <x:c r="CB51" s="44"/>
      <x:c r="CC51" s="44"/>
      <x:c r="CD51" s="44"/>
      <x:c r="CE51" s="44"/>
      <x:c r="CF51" s="44"/>
      <x:c r="CG51" s="44"/>
      <x:c r="CH51" s="44"/>
      <x:c r="CI51" s="44"/>
    </x:row>
    <x:row r="52">
      <x:c r="R52" s="44"/>
      <x:c r="S52" s="44"/>
      <x:c r="T52" s="44"/>
      <x:c r="U52" s="44"/>
      <x:c r="V52" s="44"/>
      <x:c r="W52" s="44"/>
      <x:c r="X52" s="44"/>
      <x:c r="Y52" s="44"/>
      <x:c r="Z52" s="44"/>
      <x:c r="AA52" s="44"/>
      <x:c r="AB52" s="44"/>
      <x:c r="AC52" s="44"/>
      <x:c r="AD52" s="44"/>
      <x:c r="AE52" s="44"/>
      <x:c r="AF52" s="44"/>
      <x:c r="AG52" s="44"/>
      <x:c r="AH52" s="44"/>
      <x:c r="AI52" s="44"/>
      <x:c r="AJ52" s="44"/>
      <x:c r="AK52" s="44"/>
      <x:c r="AL52" s="44"/>
      <x:c r="AM52" s="44"/>
      <x:c r="AN52" s="44"/>
      <x:c r="AO52" s="44"/>
      <x:c r="AP52" s="44"/>
      <x:c r="AQ52" s="44"/>
      <x:c r="AR52" s="44"/>
      <x:c r="AS52" s="44"/>
      <x:c r="AT52" s="44"/>
      <x:c r="AU52" s="44"/>
      <x:c r="AV52" s="44"/>
      <x:c r="AW52" s="44"/>
      <x:c r="AX52" s="44"/>
      <x:c r="AY52" s="44"/>
      <x:c r="AZ52" s="44"/>
      <x:c r="BA52" s="44"/>
      <x:c r="BB52" s="44"/>
      <x:c r="BC52" s="44"/>
      <x:c r="BD52" s="44"/>
      <x:c r="BE52" s="44"/>
      <x:c r="BF52" s="44"/>
      <x:c r="BG52" s="44"/>
      <x:c r="BH52" s="44"/>
      <x:c r="BI52" s="44"/>
      <x:c r="BJ52" s="44"/>
      <x:c r="BK52" s="44"/>
      <x:c r="BL52" s="44"/>
      <x:c r="BM52" s="44"/>
      <x:c r="BN52" s="44"/>
      <x:c r="BO52" s="44"/>
      <x:c r="BP52" s="44"/>
      <x:c r="BQ52" s="44"/>
      <x:c r="BR52" s="44"/>
      <x:c r="BS52" s="44"/>
      <x:c r="BT52" s="44"/>
      <x:c r="BU52" s="44"/>
      <x:c r="BV52" s="44"/>
      <x:c r="BW52" s="44"/>
      <x:c r="BX52" s="44"/>
      <x:c r="BY52" s="44"/>
      <x:c r="BZ52" s="44"/>
      <x:c r="CA52" s="44"/>
      <x:c r="CB52" s="44"/>
      <x:c r="CC52" s="44"/>
      <x:c r="CD52" s="44"/>
      <x:c r="CE52" s="44"/>
      <x:c r="CF52" s="44"/>
      <x:c r="CG52" s="44"/>
      <x:c r="CH52" s="44"/>
      <x:c r="CI52" s="44"/>
    </x:row>
    <x:row r="53">
      <x:c r="R53" s="44"/>
      <x:c r="S53" s="44"/>
      <x:c r="T53" s="44"/>
      <x:c r="U53" s="44"/>
      <x:c r="V53" s="44"/>
      <x:c r="W53" s="44"/>
      <x:c r="X53" s="44"/>
      <x:c r="Y53" s="44"/>
      <x:c r="Z53" s="44"/>
      <x:c r="AA53" s="44"/>
      <x:c r="AB53" s="44"/>
      <x:c r="AC53" s="44"/>
      <x:c r="AD53" s="44"/>
      <x:c r="AE53" s="44"/>
      <x:c r="AF53" s="44"/>
      <x:c r="AG53" s="44"/>
      <x:c r="AH53" s="44"/>
      <x:c r="AI53" s="44"/>
      <x:c r="AJ53" s="44"/>
      <x:c r="AK53" s="44"/>
      <x:c r="AL53" s="44"/>
      <x:c r="AM53" s="44"/>
      <x:c r="AN53" s="44"/>
      <x:c r="AO53" s="44"/>
      <x:c r="AP53" s="44"/>
      <x:c r="AQ53" s="44"/>
      <x:c r="AR53" s="44"/>
      <x:c r="AS53" s="44"/>
      <x:c r="AT53" s="44"/>
      <x:c r="AU53" s="44"/>
      <x:c r="AV53" s="44"/>
      <x:c r="AW53" s="44"/>
      <x:c r="AX53" s="44"/>
      <x:c r="AY53" s="44"/>
      <x:c r="AZ53" s="44"/>
      <x:c r="BA53" s="44"/>
      <x:c r="BB53" s="44"/>
      <x:c r="BC53" s="44"/>
      <x:c r="BD53" s="44"/>
      <x:c r="BE53" s="44"/>
      <x:c r="BF53" s="44"/>
      <x:c r="BG53" s="44"/>
      <x:c r="BH53" s="44"/>
      <x:c r="BI53" s="44"/>
      <x:c r="BJ53" s="44"/>
      <x:c r="BK53" s="44"/>
      <x:c r="BL53" s="44"/>
      <x:c r="BM53" s="44"/>
      <x:c r="BN53" s="44"/>
      <x:c r="BO53" s="44"/>
      <x:c r="BP53" s="44"/>
      <x:c r="BQ53" s="44"/>
      <x:c r="BR53" s="44"/>
      <x:c r="BS53" s="44"/>
      <x:c r="BT53" s="44"/>
      <x:c r="BU53" s="44"/>
      <x:c r="BV53" s="44"/>
      <x:c r="BW53" s="44"/>
      <x:c r="BX53" s="44"/>
      <x:c r="BY53" s="44"/>
      <x:c r="BZ53" s="44"/>
      <x:c r="CA53" s="44"/>
      <x:c r="CB53" s="44"/>
      <x:c r="CC53" s="44"/>
      <x:c r="CD53" s="44"/>
      <x:c r="CE53" s="44"/>
      <x:c r="CF53" s="44"/>
      <x:c r="CG53" s="44"/>
      <x:c r="CH53" s="44"/>
      <x:c r="CI53" s="44"/>
    </x:row>
    <x:row r="54" ht="15" hidden="0" customHeight="1">
      <x:c r="A54" s="113" t="str">
        <x:v>六类去重终端收入｜逐年目标、类别权重、收入上限与6轮动态分配（亿美元）</x:v>
      </x:c>
      <x:c r="B54" s="113"/>
      <x:c r="C54" s="113"/>
      <x:c r="D54" s="113"/>
      <x:c r="E54" s="113"/>
      <x:c r="F54" s="113"/>
      <x:c r="G54" s="113"/>
      <x:c r="H54" s="113"/>
      <x:c r="I54" s="113"/>
      <x:c r="J54" s="113"/>
      <x:c r="R54" s="44"/>
      <x:c r="S54" s="44"/>
      <x:c r="T54" s="44"/>
      <x:c r="U54" s="44"/>
      <x:c r="V54" s="44"/>
      <x:c r="W54" s="44"/>
      <x:c r="X54" s="44"/>
      <x:c r="Y54" s="44"/>
      <x:c r="Z54" s="44"/>
      <x:c r="AA54" s="44"/>
      <x:c r="AB54" s="44"/>
      <x:c r="AC54" s="44"/>
      <x:c r="AD54" s="44"/>
      <x:c r="AE54" s="44"/>
      <x:c r="AF54" s="44"/>
      <x:c r="AG54" s="44"/>
      <x:c r="AH54" s="44"/>
      <x:c r="AI54" s="44"/>
      <x:c r="AJ54" s="44"/>
      <x:c r="AK54" s="44"/>
      <x:c r="AL54" s="44"/>
      <x:c r="AM54" s="44"/>
      <x:c r="AN54" s="44"/>
      <x:c r="AO54" s="44"/>
      <x:c r="AP54" s="44"/>
      <x:c r="AQ54" s="44"/>
      <x:c r="AR54" s="44"/>
      <x:c r="AS54" s="44"/>
      <x:c r="AT54" s="44"/>
      <x:c r="AU54" s="44"/>
      <x:c r="AV54" s="44"/>
      <x:c r="AW54" s="44"/>
      <x:c r="AX54" s="44"/>
      <x:c r="AY54" s="44"/>
      <x:c r="AZ54" s="44"/>
      <x:c r="BA54" s="44"/>
      <x:c r="BB54" s="44"/>
      <x:c r="BC54" s="44"/>
      <x:c r="BD54" s="44"/>
      <x:c r="BE54" s="44"/>
      <x:c r="BF54" s="44"/>
      <x:c r="BG54" s="44"/>
      <x:c r="BH54" s="44"/>
      <x:c r="BI54" s="44"/>
      <x:c r="BJ54" s="44"/>
      <x:c r="BK54" s="44"/>
      <x:c r="BL54" s="44"/>
      <x:c r="BM54" s="44"/>
      <x:c r="BN54" s="44"/>
      <x:c r="BO54" s="44"/>
      <x:c r="BP54" s="44"/>
      <x:c r="BQ54" s="44"/>
      <x:c r="BR54" s="44"/>
      <x:c r="BS54" s="44"/>
      <x:c r="BT54" s="44"/>
      <x:c r="BU54" s="44"/>
      <x:c r="BV54" s="44"/>
      <x:c r="BW54" s="44"/>
      <x:c r="BX54" s="44"/>
      <x:c r="BY54" s="44"/>
      <x:c r="BZ54" s="44"/>
      <x:c r="CA54" s="44"/>
      <x:c r="CB54" s="44"/>
      <x:c r="CC54" s="44"/>
      <x:c r="CD54" s="44"/>
      <x:c r="CE54" s="44"/>
      <x:c r="CF54" s="44"/>
      <x:c r="CG54" s="44"/>
      <x:c r="CH54" s="44"/>
      <x:c r="CI54" s="44"/>
    </x:row>
    <x:row r="55" ht="15" hidden="0" customHeight="1">
      <x:c r="A55" s="106" t="str">
        <x:v>收入类别</x:v>
      </x:c>
      <x:c r="B55" s="106" t="str">
        <x:v>2022A</x:v>
      </x:c>
      <x:c r="C55" s="106" t="str">
        <x:v>2023A</x:v>
      </x:c>
      <x:c r="D55" s="106" t="str">
        <x:v>2024A</x:v>
      </x:c>
      <x:c r="E55" s="106" t="str">
        <x:v>2025A</x:v>
      </x:c>
      <x:c r="F55" s="106" t="str">
        <x:v>2026E</x:v>
      </x:c>
      <x:c r="G55" s="106" t="str">
        <x:v>2027E</x:v>
      </x:c>
      <x:c r="H55" s="106" t="str">
        <x:v>2028E</x:v>
      </x:c>
      <x:c r="I55" s="106" t="str">
        <x:v>2029E</x:v>
      </x:c>
      <x:c r="J55" s="106" t="str">
        <x:v>2030E</x:v>
      </x:c>
      <x:c r="R55" s="44"/>
      <x:c r="S55" s="44"/>
      <x:c r="T55" s="44"/>
      <x:c r="U55" s="44"/>
      <x:c r="V55" s="44"/>
      <x:c r="W55" s="44"/>
      <x:c r="X55" s="44"/>
      <x:c r="Y55" s="44"/>
      <x:c r="Z55" s="44"/>
      <x:c r="AA55" s="44"/>
      <x:c r="AB55" s="44"/>
      <x:c r="AC55" s="44"/>
      <x:c r="AD55" s="44"/>
      <x:c r="AE55" s="44"/>
      <x:c r="AF55" s="44"/>
      <x:c r="AG55" s="44"/>
      <x:c r="AH55" s="44"/>
      <x:c r="AI55" s="44"/>
      <x:c r="AJ55" s="44"/>
      <x:c r="AK55" s="44"/>
      <x:c r="AL55" s="44"/>
      <x:c r="AM55" s="44"/>
      <x:c r="AN55" s="44"/>
      <x:c r="AO55" s="44"/>
      <x:c r="AP55" s="44"/>
      <x:c r="AQ55" s="44"/>
      <x:c r="AR55" s="44"/>
      <x:c r="AS55" s="44"/>
      <x:c r="AT55" s="44"/>
      <x:c r="AU55" s="44"/>
      <x:c r="AV55" s="44"/>
      <x:c r="AW55" s="44"/>
      <x:c r="AX55" s="44"/>
      <x:c r="AY55" s="44"/>
      <x:c r="AZ55" s="44"/>
      <x:c r="BA55" s="44"/>
      <x:c r="BB55" s="44"/>
      <x:c r="BC55" s="44"/>
      <x:c r="BD55" s="44"/>
      <x:c r="BE55" s="44"/>
      <x:c r="BF55" s="44"/>
      <x:c r="BG55" s="44"/>
      <x:c r="BH55" s="44"/>
      <x:c r="BI55" s="44"/>
      <x:c r="BJ55" s="44"/>
      <x:c r="BK55" s="44"/>
      <x:c r="BL55" s="44"/>
      <x:c r="BM55" s="44"/>
      <x:c r="BN55" s="44"/>
      <x:c r="BO55" s="44"/>
      <x:c r="BP55" s="44"/>
      <x:c r="BQ55" s="44"/>
      <x:c r="BR55" s="44"/>
      <x:c r="BS55" s="44"/>
      <x:c r="BT55" s="44"/>
      <x:c r="BU55" s="44"/>
      <x:c r="BV55" s="44"/>
      <x:c r="BW55" s="44"/>
      <x:c r="BX55" s="44"/>
      <x:c r="BY55" s="44"/>
      <x:c r="BZ55" s="44"/>
      <x:c r="CA55" s="44"/>
      <x:c r="CB55" s="44"/>
      <x:c r="CC55" s="44"/>
      <x:c r="CD55" s="44"/>
      <x:c r="CE55" s="44"/>
      <x:c r="CF55" s="44"/>
      <x:c r="CG55" s="44"/>
      <x:c r="CH55" s="44"/>
      <x:c r="CI55" s="44"/>
    </x:row>
    <x:row r="56" ht="15" hidden="0" customHeight="1">
      <x:c r="A56" s="16" t="str">
        <x:v>模型与API收入</x:v>
      </x:c>
      <x:c r="B56" s="40" t="n">
        <x:f>B5*B$12</x:f>
        <x:v>4.5</x:v>
      </x:c>
      <x:c r="C56" s="40" t="n">
        <x:f>C5*C$12</x:f>
        <x:v>10</x:v>
      </x:c>
      <x:c r="D56" s="40" t="n">
        <x:f>D5*D$12</x:f>
        <x:v>87</x:v>
      </x:c>
      <x:c r="E56" s="40" t="n">
        <x:f>E5*E$12</x:f>
        <x:v>346.5</x:v>
      </x:c>
      <x:c r="F56" s="40" t="n">
        <x:f>AE5</x:f>
        <x:v>846.2440064601701</x:v>
      </x:c>
      <x:c r="G56" s="40" t="n">
        <x:f>AS5</x:f>
        <x:v>1682.9895421830138</x:v>
      </x:c>
      <x:c r="H56" s="40" t="n">
        <x:f>BG5</x:f>
        <x:v>2811.530224655217</x:v>
      </x:c>
      <x:c r="I56" s="40" t="n">
        <x:f>BU5</x:f>
        <x:v>4302.31841214933</x:v>
      </x:c>
      <x:c r="J56" s="40" t="n">
        <x:f>CI5</x:f>
        <x:v>6326.61531685078</x:v>
      </x:c>
      <x:c r="R56" s="44"/>
      <x:c r="S56" s="44"/>
      <x:c r="T56" s="44"/>
      <x:c r="U56" s="44"/>
      <x:c r="V56" s="44"/>
      <x:c r="W56" s="44"/>
      <x:c r="X56" s="44"/>
      <x:c r="Y56" s="44"/>
      <x:c r="Z56" s="44"/>
      <x:c r="AA56" s="44"/>
      <x:c r="AB56" s="44"/>
      <x:c r="AC56" s="44"/>
      <x:c r="AD56" s="44"/>
      <x:c r="AE56" s="44"/>
      <x:c r="AF56" s="44"/>
      <x:c r="AG56" s="44"/>
      <x:c r="AH56" s="44"/>
      <x:c r="AI56" s="44"/>
      <x:c r="AJ56" s="44"/>
      <x:c r="AK56" s="44"/>
      <x:c r="AL56" s="44"/>
      <x:c r="AM56" s="44"/>
      <x:c r="AN56" s="44"/>
      <x:c r="AO56" s="44"/>
      <x:c r="AP56" s="44"/>
      <x:c r="AQ56" s="44"/>
      <x:c r="AR56" s="44"/>
      <x:c r="AS56" s="44"/>
      <x:c r="AT56" s="44"/>
      <x:c r="AU56" s="44"/>
      <x:c r="AV56" s="44"/>
      <x:c r="AW56" s="44"/>
      <x:c r="AX56" s="44"/>
      <x:c r="AY56" s="44"/>
      <x:c r="AZ56" s="44"/>
      <x:c r="BA56" s="44"/>
      <x:c r="BB56" s="44"/>
      <x:c r="BC56" s="44"/>
      <x:c r="BD56" s="44"/>
      <x:c r="BE56" s="44"/>
      <x:c r="BF56" s="44"/>
      <x:c r="BG56" s="44"/>
      <x:c r="BH56" s="44"/>
      <x:c r="BI56" s="44"/>
      <x:c r="BJ56" s="44"/>
      <x:c r="BK56" s="44"/>
      <x:c r="BL56" s="44"/>
      <x:c r="BM56" s="44"/>
      <x:c r="BN56" s="44"/>
      <x:c r="BO56" s="44"/>
      <x:c r="BP56" s="44"/>
      <x:c r="BQ56" s="44"/>
      <x:c r="BR56" s="44"/>
      <x:c r="BS56" s="44"/>
      <x:c r="BT56" s="44"/>
      <x:c r="BU56" s="44"/>
      <x:c r="BV56" s="44"/>
      <x:c r="BW56" s="44"/>
      <x:c r="BX56" s="44"/>
      <x:c r="BY56" s="44"/>
      <x:c r="BZ56" s="44"/>
      <x:c r="CA56" s="44"/>
      <x:c r="CB56" s="44"/>
      <x:c r="CC56" s="44"/>
      <x:c r="CD56" s="44"/>
      <x:c r="CE56" s="44"/>
      <x:c r="CF56" s="44"/>
      <x:c r="CG56" s="44"/>
      <x:c r="CH56" s="44"/>
      <x:c r="CI56" s="44"/>
    </x:row>
    <x:row r="57" ht="15" hidden="0" customHeight="1">
      <x:c r="A57" s="16" t="str">
        <x:v>AI原生应用收入</x:v>
      </x:c>
      <x:c r="B57" s="40" t="n">
        <x:f>B6*B$12</x:f>
        <x:v>4.5</x:v>
      </x:c>
      <x:c r="C57" s="40" t="n">
        <x:f>C6*C$12</x:f>
        <x:v>15</x:v>
      </x:c>
      <x:c r="D57" s="40" t="n">
        <x:f>D6*D$12</x:f>
        <x:v>46.4</x:v>
      </x:c>
      <x:c r="E57" s="40" t="n">
        <x:f>E6*E$12</x:f>
        <x:v>126</x:v>
      </x:c>
      <x:c r="F57" s="40" t="n">
        <x:f>AE6</x:f>
        <x:v>339.41953801274883</x:v>
      </x:c>
      <x:c r="G57" s="40" t="n">
        <x:f>AS6</x:f>
        <x:v>1102.5410161771445</x:v>
      </x:c>
      <x:c r="H57" s="40" t="n">
        <x:f>BG6</x:f>
        <x:v>2736.617691470918</x:v>
      </x:c>
      <x:c r="I57" s="40" t="n">
        <x:f>BU6</x:f>
        <x:v>5278.4889733558675</x:v>
      </x:c>
      <x:c r="J57" s="40" t="n">
        <x:f>CI6</x:f>
        <x:v>8927.72473424979</x:v>
      </x:c>
      <x:c r="R57" s="44"/>
      <x:c r="S57" s="44"/>
      <x:c r="T57" s="44"/>
      <x:c r="U57" s="44"/>
      <x:c r="V57" s="44"/>
      <x:c r="W57" s="44"/>
      <x:c r="X57" s="44"/>
      <x:c r="Y57" s="44"/>
      <x:c r="Z57" s="44"/>
      <x:c r="AA57" s="44"/>
      <x:c r="AB57" s="44"/>
      <x:c r="AC57" s="44"/>
      <x:c r="AD57" s="44"/>
      <x:c r="AE57" s="44"/>
      <x:c r="AF57" s="44"/>
      <x:c r="AG57" s="44"/>
      <x:c r="AH57" s="44"/>
      <x:c r="AI57" s="44"/>
      <x:c r="AJ57" s="44"/>
      <x:c r="AK57" s="44"/>
      <x:c r="AL57" s="44"/>
      <x:c r="AM57" s="44"/>
      <x:c r="AN57" s="44"/>
      <x:c r="AO57" s="44"/>
      <x:c r="AP57" s="44"/>
      <x:c r="AQ57" s="44"/>
      <x:c r="AR57" s="44"/>
      <x:c r="AS57" s="44"/>
      <x:c r="AT57" s="44"/>
      <x:c r="AU57" s="44"/>
      <x:c r="AV57" s="44"/>
      <x:c r="AW57" s="44"/>
      <x:c r="AX57" s="44"/>
      <x:c r="AY57" s="44"/>
      <x:c r="AZ57" s="44"/>
      <x:c r="BA57" s="44"/>
      <x:c r="BB57" s="44"/>
      <x:c r="BC57" s="44"/>
      <x:c r="BD57" s="44"/>
      <x:c r="BE57" s="44"/>
      <x:c r="BF57" s="44"/>
      <x:c r="BG57" s="44"/>
      <x:c r="BH57" s="44"/>
      <x:c r="BI57" s="44"/>
      <x:c r="BJ57" s="44"/>
      <x:c r="BK57" s="44"/>
      <x:c r="BL57" s="44"/>
      <x:c r="BM57" s="44"/>
      <x:c r="BN57" s="44"/>
      <x:c r="BO57" s="44"/>
      <x:c r="BP57" s="44"/>
      <x:c r="BQ57" s="44"/>
      <x:c r="BR57" s="44"/>
      <x:c r="BS57" s="44"/>
      <x:c r="BT57" s="44"/>
      <x:c r="BU57" s="44"/>
      <x:c r="BV57" s="44"/>
      <x:c r="BW57" s="44"/>
      <x:c r="BX57" s="44"/>
      <x:c r="BY57" s="44"/>
      <x:c r="BZ57" s="44"/>
      <x:c r="CA57" s="44"/>
      <x:c r="CB57" s="44"/>
      <x:c r="CC57" s="44"/>
      <x:c r="CD57" s="44"/>
      <x:c r="CE57" s="44"/>
      <x:c r="CF57" s="44"/>
      <x:c r="CG57" s="44"/>
      <x:c r="CH57" s="44"/>
      <x:c r="CI57" s="44"/>
    </x:row>
    <x:row r="58" ht="15" hidden="0" customHeight="1">
      <x:c r="A58" s="16" t="str">
        <x:v>云AI与模型即服务（MaaS）收入</x:v>
      </x:c>
      <x:c r="B58" s="40" t="n">
        <x:f>B7*B$12</x:f>
        <x:v>22.5</x:v>
      </x:c>
      <x:c r="C58" s="40" t="n">
        <x:f>C7*C$12</x:f>
        <x:v>60</x:v>
      </x:c>
      <x:c r="D58" s="40" t="n">
        <x:f>D7*D$12</x:f>
        <x:v>162.39999999999998</x:v>
      </x:c>
      <x:c r="E58" s="40" t="n">
        <x:f>E7*E$12</x:f>
        <x:v>535.5</x:v>
      </x:c>
      <x:c r="F58" s="40" t="n">
        <x:f>AE7</x:f>
        <x:v>515.5279579584944</x:v>
      </x:c>
      <x:c r="G58" s="40" t="n">
        <x:f>AS7</x:f>
        <x:v>1270.6241295529414</x:v>
      </x:c>
      <x:c r="H58" s="40" t="n">
        <x:f>BG7</x:f>
        <x:v>2546.3403016825664</x:v>
      </x:c>
      <x:c r="I58" s="40" t="n">
        <x:f>BU7</x:f>
        <x:v>4602.7404709006705</x:v>
      </x:c>
      <x:c r="J58" s="40" t="n">
        <x:f>CI7</x:f>
        <x:v>7514.682826980289</x:v>
      </x:c>
      <x:c r="R58" s="44"/>
      <x:c r="S58" s="44"/>
      <x:c r="T58" s="44"/>
      <x:c r="U58" s="44"/>
      <x:c r="V58" s="44"/>
      <x:c r="W58" s="44"/>
      <x:c r="X58" s="44"/>
      <x:c r="Y58" s="44"/>
      <x:c r="Z58" s="44"/>
      <x:c r="AA58" s="44"/>
      <x:c r="AB58" s="44"/>
      <x:c r="AC58" s="44"/>
      <x:c r="AD58" s="44"/>
      <x:c r="AE58" s="44"/>
      <x:c r="AF58" s="44"/>
      <x:c r="AG58" s="44"/>
      <x:c r="AH58" s="44"/>
      <x:c r="AI58" s="44"/>
      <x:c r="AJ58" s="44"/>
      <x:c r="AK58" s="44"/>
      <x:c r="AL58" s="44"/>
      <x:c r="AM58" s="44"/>
      <x:c r="AN58" s="44"/>
      <x:c r="AO58" s="44"/>
      <x:c r="AP58" s="44"/>
      <x:c r="AQ58" s="44"/>
      <x:c r="AR58" s="44"/>
      <x:c r="AS58" s="44"/>
      <x:c r="AT58" s="44"/>
      <x:c r="AU58" s="44"/>
      <x:c r="AV58" s="44"/>
      <x:c r="AW58" s="44"/>
      <x:c r="AX58" s="44"/>
      <x:c r="AY58" s="44"/>
      <x:c r="AZ58" s="44"/>
      <x:c r="BA58" s="44"/>
      <x:c r="BB58" s="44"/>
      <x:c r="BC58" s="44"/>
      <x:c r="BD58" s="44"/>
      <x:c r="BE58" s="44"/>
      <x:c r="BF58" s="44"/>
      <x:c r="BG58" s="44"/>
      <x:c r="BH58" s="44"/>
      <x:c r="BI58" s="44"/>
      <x:c r="BJ58" s="44"/>
      <x:c r="BK58" s="44"/>
      <x:c r="BL58" s="44"/>
      <x:c r="BM58" s="44"/>
      <x:c r="BN58" s="44"/>
      <x:c r="BO58" s="44"/>
      <x:c r="BP58" s="44"/>
      <x:c r="BQ58" s="44"/>
      <x:c r="BR58" s="44"/>
      <x:c r="BS58" s="44"/>
      <x:c r="BT58" s="44"/>
      <x:c r="BU58" s="44"/>
      <x:c r="BV58" s="44"/>
      <x:c r="BW58" s="44"/>
      <x:c r="BX58" s="44"/>
      <x:c r="BY58" s="44"/>
      <x:c r="BZ58" s="44"/>
      <x:c r="CA58" s="44"/>
      <x:c r="CB58" s="44"/>
      <x:c r="CC58" s="44"/>
      <x:c r="CD58" s="44"/>
      <x:c r="CE58" s="44"/>
      <x:c r="CF58" s="44"/>
      <x:c r="CG58" s="44"/>
      <x:c r="CH58" s="44"/>
      <x:c r="CI58" s="44"/>
    </x:row>
    <x:row r="59" ht="15" hidden="0" customHeight="1">
      <x:c r="A59" s="16" t="str">
        <x:v>大厂自有AI应用收入</x:v>
      </x:c>
      <x:c r="B59" s="40" t="n">
        <x:f>B8*B$12</x:f>
        <x:v>4.5</x:v>
      </x:c>
      <x:c r="C59" s="40" t="n">
        <x:f>C8*C$12</x:f>
        <x:v>10</x:v>
      </x:c>
      <x:c r="D59" s="40" t="n">
        <x:f>D8*D$12</x:f>
        <x:v>23.2</x:v>
      </x:c>
      <x:c r="E59" s="40" t="n">
        <x:f>E8*E$12</x:f>
        <x:v>157.5</x:v>
      </x:c>
      <x:c r="F59" s="40" t="n">
        <x:f>AE8</x:f>
        <x:v>289.5049000696975</x:v>
      </x:c>
      <x:c r="G59" s="40" t="n">
        <x:f>AS8</x:f>
        <x:v>931.7808066990975</x:v>
      </x:c>
      <x:c r="H59" s="40" t="n">
        <x:f>BG8</x:f>
        <x:v>2162.3339240653395</x:v>
      </x:c>
      <x:c r="I59" s="40" t="n">
        <x:f>BU8</x:f>
        <x:v>4242.523847743968</x:v>
      </x:c>
      <x:c r="J59" s="40" t="n">
        <x:f>CI8</x:f>
        <x:v>7538.9675533664895</x:v>
      </x:c>
      <x:c r="R59" s="44"/>
      <x:c r="S59" s="44"/>
      <x:c r="T59" s="44"/>
      <x:c r="U59" s="44"/>
      <x:c r="V59" s="44"/>
      <x:c r="W59" s="44"/>
      <x:c r="X59" s="44"/>
      <x:c r="Y59" s="44"/>
      <x:c r="Z59" s="44"/>
      <x:c r="AA59" s="44"/>
      <x:c r="AB59" s="44"/>
      <x:c r="AC59" s="44"/>
      <x:c r="AD59" s="44"/>
      <x:c r="AE59" s="44"/>
      <x:c r="AF59" s="44"/>
      <x:c r="AG59" s="44"/>
      <x:c r="AH59" s="44"/>
      <x:c r="AI59" s="44"/>
      <x:c r="AJ59" s="44"/>
      <x:c r="AK59" s="44"/>
      <x:c r="AL59" s="44"/>
      <x:c r="AM59" s="44"/>
      <x:c r="AN59" s="44"/>
      <x:c r="AO59" s="44"/>
      <x:c r="AP59" s="44"/>
      <x:c r="AQ59" s="44"/>
      <x:c r="AR59" s="44"/>
      <x:c r="AS59" s="44"/>
      <x:c r="AT59" s="44"/>
      <x:c r="AU59" s="44"/>
      <x:c r="AV59" s="44"/>
      <x:c r="AW59" s="44"/>
      <x:c r="AX59" s="44"/>
      <x:c r="AY59" s="44"/>
      <x:c r="AZ59" s="44"/>
      <x:c r="BA59" s="44"/>
      <x:c r="BB59" s="44"/>
      <x:c r="BC59" s="44"/>
      <x:c r="BD59" s="44"/>
      <x:c r="BE59" s="44"/>
      <x:c r="BF59" s="44"/>
      <x:c r="BG59" s="44"/>
      <x:c r="BH59" s="44"/>
      <x:c r="BI59" s="44"/>
      <x:c r="BJ59" s="44"/>
      <x:c r="BK59" s="44"/>
      <x:c r="BL59" s="44"/>
      <x:c r="BM59" s="44"/>
      <x:c r="BN59" s="44"/>
      <x:c r="BO59" s="44"/>
      <x:c r="BP59" s="44"/>
      <x:c r="BQ59" s="44"/>
      <x:c r="BR59" s="44"/>
      <x:c r="BS59" s="44"/>
      <x:c r="BT59" s="44"/>
      <x:c r="BU59" s="44"/>
      <x:c r="BV59" s="44"/>
      <x:c r="BW59" s="44"/>
      <x:c r="BX59" s="44"/>
      <x:c r="BY59" s="44"/>
      <x:c r="BZ59" s="44"/>
      <x:c r="CA59" s="44"/>
      <x:c r="CB59" s="44"/>
      <x:c r="CC59" s="44"/>
      <x:c r="CD59" s="44"/>
      <x:c r="CE59" s="44"/>
      <x:c r="CF59" s="44"/>
      <x:c r="CG59" s="44"/>
      <x:c r="CH59" s="44"/>
      <x:c r="CI59" s="44"/>
    </x:row>
    <x:row r="60" ht="15" hidden="0" customHeight="1">
      <x:c r="A60" s="16" t="str">
        <x:v>AI服务与行业解决方案收入</x:v>
      </x:c>
      <x:c r="B60" s="40" t="n">
        <x:f>B9*B$12</x:f>
        <x:v>22.5</x:v>
      </x:c>
      <x:c r="C60" s="40" t="n">
        <x:f>C9*C$12</x:f>
        <x:v>60</x:v>
      </x:c>
      <x:c r="D60" s="40" t="n">
        <x:f>D9*D$12</x:f>
        <x:v>115.99999999999999</x:v>
      </x:c>
      <x:c r="E60" s="40" t="n">
        <x:f>E9*E$12</x:f>
        <x:v>409.5</x:v>
      </x:c>
      <x:c r="F60" s="40" t="n">
        <x:f>AE9</x:f>
        <x:v>648.8902932596669</x:v>
      </x:c>
      <x:c r="G60" s="40" t="n">
        <x:f>AS9</x:f>
        <x:v>1503.314404445831</x:v>
      </x:c>
      <x:c r="H60" s="40" t="n">
        <x:f>BG9</x:f>
        <x:v>2721.168294552024</x:v>
      </x:c>
      <x:c r="I60" s="40" t="n">
        <x:f>BU9</x:f>
        <x:v>4865.838559291645</x:v>
      </x:c>
      <x:c r="J60" s="40" t="n">
        <x:f>CI9</x:f>
        <x:v>8333.948472900629</x:v>
      </x:c>
      <x:c r="R60" s="44"/>
      <x:c r="S60" s="44"/>
      <x:c r="T60" s="44"/>
      <x:c r="U60" s="44"/>
      <x:c r="V60" s="44"/>
      <x:c r="W60" s="44"/>
      <x:c r="X60" s="44"/>
      <x:c r="Y60" s="44"/>
      <x:c r="Z60" s="44"/>
      <x:c r="AA60" s="44"/>
      <x:c r="AB60" s="44"/>
      <x:c r="AC60" s="44"/>
      <x:c r="AD60" s="44"/>
      <x:c r="AE60" s="44"/>
      <x:c r="AF60" s="44"/>
      <x:c r="AG60" s="44"/>
      <x:c r="AH60" s="44"/>
      <x:c r="AI60" s="44"/>
      <x:c r="AJ60" s="44"/>
      <x:c r="AK60" s="44"/>
      <x:c r="AL60" s="44"/>
      <x:c r="AM60" s="44"/>
      <x:c r="AN60" s="44"/>
      <x:c r="AO60" s="44"/>
      <x:c r="AP60" s="44"/>
      <x:c r="AQ60" s="44"/>
      <x:c r="AR60" s="44"/>
      <x:c r="AS60" s="44"/>
      <x:c r="AT60" s="44"/>
      <x:c r="AU60" s="44"/>
      <x:c r="AV60" s="44"/>
      <x:c r="AW60" s="44"/>
      <x:c r="AX60" s="44"/>
      <x:c r="AY60" s="44"/>
      <x:c r="AZ60" s="44"/>
      <x:c r="BA60" s="44"/>
      <x:c r="BB60" s="44"/>
      <x:c r="BC60" s="44"/>
      <x:c r="BD60" s="44"/>
      <x:c r="BE60" s="44"/>
      <x:c r="BF60" s="44"/>
      <x:c r="BG60" s="44"/>
      <x:c r="BH60" s="44"/>
      <x:c r="BI60" s="44"/>
      <x:c r="BJ60" s="44"/>
      <x:c r="BK60" s="44"/>
      <x:c r="BL60" s="44"/>
      <x:c r="BM60" s="44"/>
      <x:c r="BN60" s="44"/>
      <x:c r="BO60" s="44"/>
      <x:c r="BP60" s="44"/>
      <x:c r="BQ60" s="44"/>
      <x:c r="BR60" s="44"/>
      <x:c r="BS60" s="44"/>
      <x:c r="BT60" s="44"/>
      <x:c r="BU60" s="44"/>
      <x:c r="BV60" s="44"/>
      <x:c r="BW60" s="44"/>
      <x:c r="BX60" s="44"/>
      <x:c r="BY60" s="44"/>
      <x:c r="BZ60" s="44"/>
      <x:c r="CA60" s="44"/>
      <x:c r="CB60" s="44"/>
      <x:c r="CC60" s="44"/>
      <x:c r="CD60" s="44"/>
      <x:c r="CE60" s="44"/>
      <x:c r="CF60" s="44"/>
      <x:c r="CG60" s="44"/>
      <x:c r="CH60" s="44"/>
      <x:c r="CI60" s="44"/>
    </x:row>
    <x:row r="61" ht="15" hidden="0" customHeight="1">
      <x:c r="A61" s="16" t="str">
        <x:v>嵌入式AI增量收入</x:v>
      </x:c>
      <x:c r="B61" s="40" t="n">
        <x:f>B10*B$12</x:f>
        <x:v>9</x:v>
      </x:c>
      <x:c r="C61" s="40" t="n">
        <x:f>C10*C$12</x:f>
        <x:v>20</x:v>
      </x:c>
      <x:c r="D61" s="40" t="n">
        <x:f>D10*D$12</x:f>
        <x:v>57.99999999999999</x:v>
      </x:c>
      <x:c r="E61" s="40" t="n">
        <x:f>E10*E$12</x:f>
        <x:v>226.8</x:v>
      </x:c>
      <x:c r="F61" s="40" t="n">
        <x:f>AE10</x:f>
        <x:v>479.18052425329245</x:v>
      </x:c>
      <x:c r="G61" s="40" t="n">
        <x:f>AS10</x:f>
        <x:v>1098.8051086948417</x:v>
      </x:c>
      <x:c r="H61" s="40" t="n">
        <x:f>BG10</x:f>
        <x:v>1996.9439366793665</x:v>
      </x:c>
      <x:c r="I61" s="40" t="n">
        <x:f>BU10</x:f>
        <x:v>3749.2071212621113</x:v>
      </x:c>
      <x:c r="J61" s="40" t="n">
        <x:f>CI10</x:f>
        <x:v>6447.801196958181</x:v>
      </x:c>
      <x:c r="R61" s="44"/>
      <x:c r="S61" s="44"/>
      <x:c r="T61" s="44"/>
      <x:c r="U61" s="44"/>
      <x:c r="V61" s="44"/>
      <x:c r="W61" s="44"/>
      <x:c r="X61" s="44"/>
      <x:c r="Y61" s="44"/>
      <x:c r="Z61" s="44"/>
      <x:c r="AA61" s="44"/>
      <x:c r="AB61" s="44"/>
      <x:c r="AC61" s="44"/>
      <x:c r="AD61" s="44"/>
      <x:c r="AE61" s="44"/>
      <x:c r="AF61" s="44"/>
      <x:c r="AG61" s="44"/>
      <x:c r="AH61" s="44"/>
      <x:c r="AI61" s="44"/>
      <x:c r="AJ61" s="44"/>
      <x:c r="AK61" s="44"/>
      <x:c r="AL61" s="44"/>
      <x:c r="AM61" s="44"/>
      <x:c r="AN61" s="44"/>
      <x:c r="AO61" s="44"/>
      <x:c r="AP61" s="44"/>
      <x:c r="AQ61" s="44"/>
      <x:c r="AR61" s="44"/>
      <x:c r="AS61" s="44"/>
      <x:c r="AT61" s="44"/>
      <x:c r="AU61" s="44"/>
      <x:c r="AV61" s="44"/>
      <x:c r="AW61" s="44"/>
      <x:c r="AX61" s="44"/>
      <x:c r="AY61" s="44"/>
      <x:c r="AZ61" s="44"/>
      <x:c r="BA61" s="44"/>
      <x:c r="BB61" s="44"/>
      <x:c r="BC61" s="44"/>
      <x:c r="BD61" s="44"/>
      <x:c r="BE61" s="44"/>
      <x:c r="BF61" s="44"/>
      <x:c r="BG61" s="44"/>
      <x:c r="BH61" s="44"/>
      <x:c r="BI61" s="44"/>
      <x:c r="BJ61" s="44"/>
      <x:c r="BK61" s="44"/>
      <x:c r="BL61" s="44"/>
      <x:c r="BM61" s="44"/>
      <x:c r="BN61" s="44"/>
      <x:c r="BO61" s="44"/>
      <x:c r="BP61" s="44"/>
      <x:c r="BQ61" s="44"/>
      <x:c r="BR61" s="44"/>
      <x:c r="BS61" s="44"/>
      <x:c r="BT61" s="44"/>
      <x:c r="BU61" s="44"/>
      <x:c r="BV61" s="44"/>
      <x:c r="BW61" s="44"/>
      <x:c r="BX61" s="44"/>
      <x:c r="BY61" s="44"/>
      <x:c r="BZ61" s="44"/>
      <x:c r="CA61" s="44"/>
      <x:c r="CB61" s="44"/>
      <x:c r="CC61" s="44"/>
      <x:c r="CD61" s="44"/>
      <x:c r="CE61" s="44"/>
      <x:c r="CF61" s="44"/>
      <x:c r="CG61" s="44"/>
      <x:c r="CH61" s="44"/>
      <x:c r="CI61" s="44"/>
    </x:row>
    <x:row r="62" ht="15" hidden="0" customHeight="1">
      <x:c r="A62" s="123" t="str">
        <x:v>供应商终端收入池（前五类）</x:v>
      </x:c>
      <x:c r="B62" s="124" t="n">
        <x:f>SUM(B56:B60)</x:f>
        <x:v>58.5</x:v>
      </x:c>
      <x:c r="C62" s="124" t="n">
        <x:f>SUM(C56:C60)</x:f>
        <x:v>155</x:v>
      </x:c>
      <x:c r="D62" s="124" t="n">
        <x:f>SUM(D56:D60)</x:f>
        <x:v>434.99999999999994</x:v>
      </x:c>
      <x:c r="E62" s="124" t="n">
        <x:f>SUM(E56:E60)</x:f>
        <x:v>1575</x:v>
      </x:c>
      <x:c r="F62" s="124" t="n">
        <x:f>SUM(F56:F60)</x:f>
        <x:v>2639.5866957607777</x:v>
      </x:c>
      <x:c r="G62" s="124" t="n">
        <x:f>SUM(G56:G60)</x:f>
        <x:v>6491.249899058029</x:v>
      </x:c>
      <x:c r="H62" s="124" t="n">
        <x:f>SUM(H56:H60)</x:f>
        <x:v>12977.990436426064</x:v>
      </x:c>
      <x:c r="I62" s="124" t="n">
        <x:f>SUM(I56:I60)</x:f>
        <x:v>23291.91026344148</x:v>
      </x:c>
      <x:c r="J62" s="124" t="n">
        <x:f>SUM(J56:J60)</x:f>
        <x:v>38641.938904347975</x:v>
      </x:c>
      <x:c r="R62" s="44"/>
      <x:c r="S62" s="44"/>
      <x:c r="T62" s="44"/>
      <x:c r="U62" s="44"/>
      <x:c r="V62" s="44"/>
      <x:c r="W62" s="44"/>
      <x:c r="X62" s="44"/>
      <x:c r="Y62" s="44"/>
      <x:c r="Z62" s="44"/>
      <x:c r="AA62" s="44"/>
      <x:c r="AB62" s="44"/>
      <x:c r="AC62" s="44"/>
      <x:c r="AD62" s="44"/>
      <x:c r="AE62" s="44"/>
      <x:c r="AF62" s="44"/>
      <x:c r="AG62" s="44"/>
      <x:c r="AH62" s="44"/>
      <x:c r="AI62" s="44"/>
      <x:c r="AJ62" s="44"/>
      <x:c r="AK62" s="44"/>
      <x:c r="AL62" s="44"/>
      <x:c r="AM62" s="44"/>
      <x:c r="AN62" s="44"/>
      <x:c r="AO62" s="44"/>
      <x:c r="AP62" s="44"/>
      <x:c r="AQ62" s="44"/>
      <x:c r="AR62" s="44"/>
      <x:c r="AS62" s="44"/>
      <x:c r="AT62" s="44"/>
      <x:c r="AU62" s="44"/>
      <x:c r="AV62" s="44"/>
      <x:c r="AW62" s="44"/>
      <x:c r="AX62" s="44"/>
      <x:c r="AY62" s="44"/>
      <x:c r="AZ62" s="44"/>
      <x:c r="BA62" s="44"/>
      <x:c r="BB62" s="44"/>
      <x:c r="BC62" s="44"/>
      <x:c r="BD62" s="44"/>
      <x:c r="BE62" s="44"/>
      <x:c r="BF62" s="44"/>
      <x:c r="BG62" s="44"/>
      <x:c r="BH62" s="44"/>
      <x:c r="BI62" s="44"/>
      <x:c r="BJ62" s="44"/>
      <x:c r="BK62" s="44"/>
      <x:c r="BL62" s="44"/>
      <x:c r="BM62" s="44"/>
      <x:c r="BN62" s="44"/>
      <x:c r="BO62" s="44"/>
      <x:c r="BP62" s="44"/>
      <x:c r="BQ62" s="44"/>
      <x:c r="BR62" s="44"/>
      <x:c r="BS62" s="44"/>
      <x:c r="BT62" s="44"/>
      <x:c r="BU62" s="44"/>
      <x:c r="BV62" s="44"/>
      <x:c r="BW62" s="44"/>
      <x:c r="BX62" s="44"/>
      <x:c r="BY62" s="44"/>
      <x:c r="BZ62" s="44"/>
      <x:c r="CA62" s="44"/>
      <x:c r="CB62" s="44"/>
      <x:c r="CC62" s="44"/>
      <x:c r="CD62" s="44"/>
      <x:c r="CE62" s="44"/>
      <x:c r="CF62" s="44"/>
      <x:c r="CG62" s="44"/>
      <x:c r="CH62" s="44"/>
      <x:c r="CI62" s="44"/>
    </x:row>
    <x:row r="63" ht="15" hidden="0" customHeight="1">
      <x:c r="A63" s="123" t="str">
        <x:v>六类终端收入合计</x:v>
      </x:c>
      <x:c r="B63" s="124" t="n">
        <x:f>SUM(B56:B61)</x:f>
        <x:v>67.5</x:v>
      </x:c>
      <x:c r="C63" s="124" t="n">
        <x:f>SUM(C56:C61)</x:f>
        <x:v>175</x:v>
      </x:c>
      <x:c r="D63" s="124" t="n">
        <x:f>SUM(D56:D61)</x:f>
        <x:v>492.99999999999994</x:v>
      </x:c>
      <x:c r="E63" s="124" t="n">
        <x:f>SUM(E56:E61)</x:f>
        <x:v>1801.8</x:v>
      </x:c>
      <x:c r="F63" s="124" t="n">
        <x:f>SUM(F56:F61)</x:f>
        <x:v>3118.76722001407</x:v>
      </x:c>
      <x:c r="G63" s="124" t="n">
        <x:f>SUM(G56:G61)</x:f>
        <x:v>7590.055007752871</x:v>
      </x:c>
      <x:c r="H63" s="124" t="n">
        <x:f>SUM(H56:H61)</x:f>
        <x:v>14974.93437310543</x:v>
      </x:c>
      <x:c r="I63" s="124" t="n">
        <x:f>SUM(I56:I61)</x:f>
        <x:v>27041.117384703593</x:v>
      </x:c>
      <x:c r="J63" s="124" t="n">
        <x:f>SUM(J56:J61)</x:f>
        <x:v>45089.74010130615</x:v>
      </x:c>
      <x:c r="R63" s="44"/>
      <x:c r="S63" s="44"/>
      <x:c r="T63" s="44"/>
      <x:c r="U63" s="44"/>
      <x:c r="V63" s="44"/>
      <x:c r="W63" s="44"/>
      <x:c r="X63" s="44"/>
      <x:c r="Y63" s="44"/>
      <x:c r="Z63" s="44"/>
      <x:c r="AA63" s="44"/>
      <x:c r="AB63" s="44"/>
      <x:c r="AC63" s="44"/>
      <x:c r="AD63" s="44"/>
      <x:c r="AE63" s="44"/>
      <x:c r="AF63" s="44"/>
      <x:c r="AG63" s="44"/>
      <x:c r="AH63" s="44"/>
      <x:c r="AI63" s="44"/>
      <x:c r="AJ63" s="44"/>
      <x:c r="AK63" s="44"/>
      <x:c r="AL63" s="44"/>
      <x:c r="AM63" s="44"/>
      <x:c r="AN63" s="44"/>
      <x:c r="AO63" s="44"/>
      <x:c r="AP63" s="44"/>
      <x:c r="AQ63" s="44"/>
      <x:c r="AR63" s="44"/>
      <x:c r="AS63" s="44"/>
      <x:c r="AT63" s="44"/>
      <x:c r="AU63" s="44"/>
      <x:c r="AV63" s="44"/>
      <x:c r="AW63" s="44"/>
      <x:c r="AX63" s="44"/>
      <x:c r="AY63" s="44"/>
      <x:c r="AZ63" s="44"/>
      <x:c r="BA63" s="44"/>
      <x:c r="BB63" s="44"/>
      <x:c r="BC63" s="44"/>
      <x:c r="BD63" s="44"/>
      <x:c r="BE63" s="44"/>
      <x:c r="BF63" s="44"/>
      <x:c r="BG63" s="44"/>
      <x:c r="BH63" s="44"/>
      <x:c r="BI63" s="44"/>
      <x:c r="BJ63" s="44"/>
      <x:c r="BK63" s="44"/>
      <x:c r="BL63" s="44"/>
      <x:c r="BM63" s="44"/>
      <x:c r="BN63" s="44"/>
      <x:c r="BO63" s="44"/>
      <x:c r="BP63" s="44"/>
      <x:c r="BQ63" s="44"/>
      <x:c r="BR63" s="44"/>
      <x:c r="BS63" s="44"/>
      <x:c r="BT63" s="44"/>
      <x:c r="BU63" s="44"/>
      <x:c r="BV63" s="44"/>
      <x:c r="BW63" s="44"/>
      <x:c r="BX63" s="44"/>
      <x:c r="BY63" s="44"/>
      <x:c r="BZ63" s="44"/>
      <x:c r="CA63" s="44"/>
      <x:c r="CB63" s="44"/>
      <x:c r="CC63" s="44"/>
      <x:c r="CD63" s="44"/>
      <x:c r="CE63" s="44"/>
      <x:c r="CF63" s="44"/>
      <x:c r="CG63" s="44"/>
      <x:c r="CH63" s="44"/>
      <x:c r="CI63" s="44"/>
    </x:row>
    <x:row r="64">
      <x:c r="R64" s="44"/>
      <x:c r="S64" s="44"/>
      <x:c r="T64" s="44"/>
      <x:c r="U64" s="44"/>
      <x:c r="V64" s="44"/>
      <x:c r="W64" s="44"/>
      <x:c r="X64" s="44"/>
      <x:c r="Y64" s="44"/>
      <x:c r="Z64" s="44"/>
      <x:c r="AA64" s="44"/>
      <x:c r="AB64" s="44"/>
      <x:c r="AC64" s="44"/>
      <x:c r="AD64" s="44"/>
      <x:c r="AE64" s="44"/>
      <x:c r="AF64" s="44"/>
      <x:c r="AG64" s="44"/>
      <x:c r="AH64" s="44"/>
      <x:c r="AI64" s="44"/>
      <x:c r="AJ64" s="44"/>
      <x:c r="AK64" s="44"/>
      <x:c r="AL64" s="44"/>
      <x:c r="AM64" s="44"/>
      <x:c r="AN64" s="44"/>
      <x:c r="AO64" s="44"/>
      <x:c r="AP64" s="44"/>
      <x:c r="AQ64" s="44"/>
      <x:c r="AR64" s="44"/>
      <x:c r="AS64" s="44"/>
      <x:c r="AT64" s="44"/>
      <x:c r="AU64" s="44"/>
      <x:c r="AV64" s="44"/>
      <x:c r="AW64" s="44"/>
      <x:c r="AX64" s="44"/>
      <x:c r="AY64" s="44"/>
      <x:c r="AZ64" s="44"/>
      <x:c r="BA64" s="44"/>
      <x:c r="BB64" s="44"/>
      <x:c r="BC64" s="44"/>
      <x:c r="BD64" s="44"/>
      <x:c r="BE64" s="44"/>
      <x:c r="BF64" s="44"/>
      <x:c r="BG64" s="44"/>
      <x:c r="BH64" s="44"/>
      <x:c r="BI64" s="44"/>
      <x:c r="BJ64" s="44"/>
      <x:c r="BK64" s="44"/>
      <x:c r="BL64" s="44"/>
      <x:c r="BM64" s="44"/>
      <x:c r="BN64" s="44"/>
      <x:c r="BO64" s="44"/>
      <x:c r="BP64" s="44"/>
      <x:c r="BQ64" s="44"/>
      <x:c r="BR64" s="44"/>
      <x:c r="BS64" s="44"/>
      <x:c r="BT64" s="44"/>
      <x:c r="BU64" s="44"/>
      <x:c r="BV64" s="44"/>
      <x:c r="BW64" s="44"/>
      <x:c r="BX64" s="44"/>
      <x:c r="BY64" s="44"/>
      <x:c r="BZ64" s="44"/>
      <x:c r="CA64" s="44"/>
      <x:c r="CB64" s="44"/>
      <x:c r="CC64" s="44"/>
      <x:c r="CD64" s="44"/>
      <x:c r="CE64" s="44"/>
      <x:c r="CF64" s="44"/>
      <x:c r="CG64" s="44"/>
      <x:c r="CH64" s="44"/>
      <x:c r="CI64" s="44"/>
    </x:row>
    <x:row r="65" ht="15" hidden="0" customHeight="1">
      <x:c r="A65" s="113" t="str">
        <x:v>六类动态毛利率｜类别基准＋毛利锚点平移＋Token单位毛利传导</x:v>
      </x:c>
      <x:c r="B65" s="113"/>
      <x:c r="C65" s="113"/>
      <x:c r="D65" s="113"/>
      <x:c r="E65" s="113"/>
      <x:c r="F65" s="113"/>
      <x:c r="G65" s="113"/>
      <x:c r="H65" s="113"/>
      <x:c r="I65" s="113"/>
      <x:c r="J65" s="113"/>
      <x:c r="R65" s="44"/>
      <x:c r="S65" s="44"/>
      <x:c r="T65" s="44"/>
      <x:c r="U65" s="44"/>
      <x:c r="V65" s="44"/>
      <x:c r="W65" s="44"/>
      <x:c r="X65" s="44"/>
      <x:c r="Y65" s="44"/>
      <x:c r="Z65" s="44"/>
      <x:c r="AA65" s="44"/>
      <x:c r="AB65" s="44"/>
      <x:c r="AC65" s="44"/>
      <x:c r="AD65" s="44"/>
      <x:c r="AE65" s="44"/>
      <x:c r="AF65" s="44"/>
      <x:c r="AG65" s="44"/>
      <x:c r="AH65" s="44"/>
      <x:c r="AI65" s="44"/>
      <x:c r="AJ65" s="44"/>
      <x:c r="AK65" s="44"/>
      <x:c r="AL65" s="44"/>
      <x:c r="AM65" s="44"/>
      <x:c r="AN65" s="44"/>
      <x:c r="AO65" s="44"/>
      <x:c r="AP65" s="44"/>
      <x:c r="AQ65" s="44"/>
      <x:c r="AR65" s="44"/>
      <x:c r="AS65" s="44"/>
      <x:c r="AT65" s="44"/>
      <x:c r="AU65" s="44"/>
      <x:c r="AV65" s="44"/>
      <x:c r="AW65" s="44"/>
      <x:c r="AX65" s="44"/>
      <x:c r="AY65" s="44"/>
      <x:c r="AZ65" s="44"/>
      <x:c r="BA65" s="44"/>
      <x:c r="BB65" s="44"/>
      <x:c r="BC65" s="44"/>
      <x:c r="BD65" s="44"/>
      <x:c r="BE65" s="44"/>
      <x:c r="BF65" s="44"/>
      <x:c r="BG65" s="44"/>
      <x:c r="BH65" s="44"/>
      <x:c r="BI65" s="44"/>
      <x:c r="BJ65" s="44"/>
      <x:c r="BK65" s="44"/>
      <x:c r="BL65" s="44"/>
      <x:c r="BM65" s="44"/>
      <x:c r="BN65" s="44"/>
      <x:c r="BO65" s="44"/>
      <x:c r="BP65" s="44"/>
      <x:c r="BQ65" s="44"/>
      <x:c r="BR65" s="44"/>
      <x:c r="BS65" s="44"/>
      <x:c r="BT65" s="44"/>
      <x:c r="BU65" s="44"/>
      <x:c r="BV65" s="44"/>
      <x:c r="BW65" s="44"/>
      <x:c r="BX65" s="44"/>
      <x:c r="BY65" s="44"/>
      <x:c r="BZ65" s="44"/>
      <x:c r="CA65" s="44"/>
      <x:c r="CB65" s="44"/>
      <x:c r="CC65" s="44"/>
      <x:c r="CD65" s="44"/>
      <x:c r="CE65" s="44"/>
      <x:c r="CF65" s="44"/>
      <x:c r="CG65" s="44"/>
      <x:c r="CH65" s="44"/>
      <x:c r="CI65" s="44"/>
    </x:row>
    <x:row r="66" ht="15" hidden="0" customHeight="1">
      <x:c r="A66" s="106" t="str">
        <x:v>收入类别</x:v>
      </x:c>
      <x:c r="B66" s="106" t="str">
        <x:v>2022A</x:v>
      </x:c>
      <x:c r="C66" s="106" t="str">
        <x:v>2023A</x:v>
      </x:c>
      <x:c r="D66" s="106" t="str">
        <x:v>2024A</x:v>
      </x:c>
      <x:c r="E66" s="106" t="str">
        <x:v>2025A</x:v>
      </x:c>
      <x:c r="F66" s="106" t="str">
        <x:v>2026E</x:v>
      </x:c>
      <x:c r="G66" s="106" t="str">
        <x:v>2027E</x:v>
      </x:c>
      <x:c r="H66" s="106" t="str">
        <x:v>2028E</x:v>
      </x:c>
      <x:c r="I66" s="106" t="str">
        <x:v>2029E</x:v>
      </x:c>
      <x:c r="J66" s="106" t="str">
        <x:v>2030E</x:v>
      </x:c>
      <x:c r="R66" s="44"/>
      <x:c r="S66" s="44"/>
      <x:c r="T66" s="44"/>
      <x:c r="U66" s="44"/>
      <x:c r="V66" s="44"/>
      <x:c r="W66" s="44"/>
      <x:c r="X66" s="44"/>
      <x:c r="Y66" s="44"/>
      <x:c r="Z66" s="44"/>
      <x:c r="AA66" s="44"/>
      <x:c r="AB66" s="44"/>
      <x:c r="AC66" s="44"/>
      <x:c r="AD66" s="44"/>
      <x:c r="AE66" s="44"/>
      <x:c r="AF66" s="44"/>
      <x:c r="AG66" s="44"/>
      <x:c r="AH66" s="44"/>
      <x:c r="AI66" s="44"/>
      <x:c r="AJ66" s="44"/>
      <x:c r="AK66" s="44"/>
      <x:c r="AL66" s="44"/>
      <x:c r="AM66" s="44"/>
      <x:c r="AN66" s="44"/>
      <x:c r="AO66" s="44"/>
      <x:c r="AP66" s="44"/>
      <x:c r="AQ66" s="44"/>
      <x:c r="AR66" s="44"/>
      <x:c r="AS66" s="44"/>
      <x:c r="AT66" s="44"/>
      <x:c r="AU66" s="44"/>
      <x:c r="AV66" s="44"/>
      <x:c r="AW66" s="44"/>
      <x:c r="AX66" s="44"/>
      <x:c r="AY66" s="44"/>
      <x:c r="AZ66" s="44"/>
      <x:c r="BA66" s="44"/>
      <x:c r="BB66" s="44"/>
      <x:c r="BC66" s="44"/>
      <x:c r="BD66" s="44"/>
      <x:c r="BE66" s="44"/>
      <x:c r="BF66" s="44"/>
      <x:c r="BG66" s="44"/>
      <x:c r="BH66" s="44"/>
      <x:c r="BI66" s="44"/>
      <x:c r="BJ66" s="44"/>
      <x:c r="BK66" s="44"/>
      <x:c r="BL66" s="44"/>
      <x:c r="BM66" s="44"/>
      <x:c r="BN66" s="44"/>
      <x:c r="BO66" s="44"/>
      <x:c r="BP66" s="44"/>
      <x:c r="BQ66" s="44"/>
      <x:c r="BR66" s="44"/>
      <x:c r="BS66" s="44"/>
      <x:c r="BT66" s="44"/>
      <x:c r="BU66" s="44"/>
      <x:c r="BV66" s="44"/>
      <x:c r="BW66" s="44"/>
      <x:c r="BX66" s="44"/>
      <x:c r="BY66" s="44"/>
      <x:c r="BZ66" s="44"/>
      <x:c r="CA66" s="44"/>
      <x:c r="CB66" s="44"/>
      <x:c r="CC66" s="44"/>
      <x:c r="CD66" s="44"/>
      <x:c r="CE66" s="44"/>
      <x:c r="CF66" s="44"/>
      <x:c r="CG66" s="44"/>
      <x:c r="CH66" s="44"/>
      <x:c r="CI66" s="44"/>
    </x:row>
    <x:row r="67" ht="15" hidden="0" customHeight="1">
      <x:c r="A67" s="16" t="str">
        <x:v>模型与API收入</x:v>
      </x:c>
      <x:c r="B67" s="42" t="n">
        <x:f>B$32</x:f>
        <x:v>0.43</x:v>
      </x:c>
      <x:c r="C67" s="42" t="n">
        <x:f>C$32</x:f>
        <x:v>0.44</x:v>
      </x:c>
      <x:c r="D67" s="42" t="n">
        <x:f>D$32</x:f>
        <x:v>0.47</x:v>
      </x:c>
      <x:c r="E67" s="42" t="n">
        <x:f>E$32</x:f>
        <x:v>0.48</x:v>
      </x:c>
      <x:c r="F67" s="42" t="n">
        <x:f>MAX(0.2,MIN(0.88,'口径映射'!$B$29+('模型参数'!$B$17-SUMPRODUCT($F$56:$F$61,'口径映射'!$B$29:$B$34)/MAX(0.01,$F$63))+('Token量价利'!B$16-'Token量价利'!B$19)*0.35))</x:f>
        <x:v>0.38497532793763306</x:v>
      </x:c>
      <x:c r="G67" s="42" t="n">
        <x:f>MAX(0.2,MIN(0.88,'口径映射'!$C$29+('模型参数'!$B$17-SUMPRODUCT($F$56:$F$61,'口径映射'!$B$29:$B$34)/MAX(0.01,$F$63))+('Token量价利'!C$16-'Token量价利'!C$19)*0.35))</x:f>
        <x:v>0.41497532793763303</x:v>
      </x:c>
      <x:c r="H67" s="42" t="n">
        <x:f>MAX(0.2,MIN(0.88,'口径映射'!$D$29+('模型参数'!$B$17-SUMPRODUCT($F$56:$F$61,'口径映射'!$B$29:$B$34)/MAX(0.01,$F$63))+('Token量价利'!D$16-'Token量价利'!D$19)*0.35))</x:f>
        <x:v>0.444975327937633</x:v>
      </x:c>
      <x:c r="I67" s="42" t="n">
        <x:f>MAX(0.2,MIN(0.88,'口径映射'!$E$29+('模型参数'!$B$17-SUMPRODUCT($F$56:$F$61,'口径映射'!$B$29:$B$34)/MAX(0.01,$F$63))+('Token量价利'!E$16-'Token量价利'!E$19)*0.35))</x:f>
        <x:v>0.47497532793763303</x:v>
      </x:c>
      <x:c r="J67" s="42" t="n">
        <x:f>MAX(0.2,MIN(0.88,'口径映射'!$F$29+('模型参数'!$B$17-SUMPRODUCT($F$56:$F$61,'口径映射'!$B$29:$B$34)/MAX(0.01,$F$63))+('Token量价利'!F$16-'Token量价利'!F$19)*0.35))</x:f>
        <x:v>0.504975327937633</x:v>
      </x:c>
      <x:c r="R67" s="44"/>
      <x:c r="S67" s="44"/>
      <x:c r="T67" s="44"/>
      <x:c r="U67" s="44"/>
      <x:c r="V67" s="44"/>
      <x:c r="W67" s="44"/>
      <x:c r="X67" s="44"/>
      <x:c r="Y67" s="44"/>
      <x:c r="Z67" s="44"/>
      <x:c r="AA67" s="44"/>
      <x:c r="AB67" s="44"/>
      <x:c r="AC67" s="44"/>
      <x:c r="AD67" s="44"/>
      <x:c r="AE67" s="44"/>
      <x:c r="AF67" s="44"/>
      <x:c r="AG67" s="44"/>
      <x:c r="AH67" s="44"/>
      <x:c r="AI67" s="44"/>
      <x:c r="AJ67" s="44"/>
      <x:c r="AK67" s="44"/>
      <x:c r="AL67" s="44"/>
      <x:c r="AM67" s="44"/>
      <x:c r="AN67" s="44"/>
      <x:c r="AO67" s="44"/>
      <x:c r="AP67" s="44"/>
      <x:c r="AQ67" s="44"/>
      <x:c r="AR67" s="44"/>
      <x:c r="AS67" s="44"/>
      <x:c r="AT67" s="44"/>
      <x:c r="AU67" s="44"/>
      <x:c r="AV67" s="44"/>
      <x:c r="AW67" s="44"/>
      <x:c r="AX67" s="44"/>
      <x:c r="AY67" s="44"/>
      <x:c r="AZ67" s="44"/>
      <x:c r="BA67" s="44"/>
      <x:c r="BB67" s="44"/>
      <x:c r="BC67" s="44"/>
      <x:c r="BD67" s="44"/>
      <x:c r="BE67" s="44"/>
      <x:c r="BF67" s="44"/>
      <x:c r="BG67" s="44"/>
      <x:c r="BH67" s="44"/>
      <x:c r="BI67" s="44"/>
      <x:c r="BJ67" s="44"/>
      <x:c r="BK67" s="44"/>
      <x:c r="BL67" s="44"/>
      <x:c r="BM67" s="44"/>
      <x:c r="BN67" s="44"/>
      <x:c r="BO67" s="44"/>
      <x:c r="BP67" s="44"/>
      <x:c r="BQ67" s="44"/>
      <x:c r="BR67" s="44"/>
      <x:c r="BS67" s="44"/>
      <x:c r="BT67" s="44"/>
      <x:c r="BU67" s="44"/>
      <x:c r="BV67" s="44"/>
      <x:c r="BW67" s="44"/>
      <x:c r="BX67" s="44"/>
      <x:c r="BY67" s="44"/>
      <x:c r="BZ67" s="44"/>
      <x:c r="CA67" s="44"/>
      <x:c r="CB67" s="44"/>
      <x:c r="CC67" s="44"/>
      <x:c r="CD67" s="44"/>
      <x:c r="CE67" s="44"/>
      <x:c r="CF67" s="44"/>
      <x:c r="CG67" s="44"/>
      <x:c r="CH67" s="44"/>
      <x:c r="CI67" s="44"/>
    </x:row>
    <x:row r="68" ht="15" hidden="0" customHeight="1">
      <x:c r="A68" s="16" t="str">
        <x:v>AI原生应用收入</x:v>
      </x:c>
      <x:c r="B68" s="42" t="n">
        <x:f>B$32</x:f>
        <x:v>0.43</x:v>
      </x:c>
      <x:c r="C68" s="42" t="n">
        <x:f>C$32</x:f>
        <x:v>0.44</x:v>
      </x:c>
      <x:c r="D68" s="42" t="n">
        <x:f>D$32</x:f>
        <x:v>0.47</x:v>
      </x:c>
      <x:c r="E68" s="42" t="n">
        <x:f>E$32</x:f>
        <x:v>0.48</x:v>
      </x:c>
      <x:c r="F68" s="42" t="n">
        <x:f>MAX(0.2,MIN(0.88,'口径映射'!$B$30+('模型参数'!$B$17-SUMPRODUCT($F$56:$F$61,'口径映射'!$B$29:$B$34)/MAX(0.01,$F$63))+('Token量价利'!B$16-'Token量价利'!B$19)*0))</x:f>
        <x:v>0.6549753279376331</x:v>
      </x:c>
      <x:c r="G68" s="42" t="n">
        <x:f>MAX(0.2,MIN(0.88,'口径映射'!$C$30+('模型参数'!$B$17-SUMPRODUCT($F$56:$F$61,'口径映射'!$B$29:$B$34)/MAX(0.01,$F$63))+('Token量价利'!C$16-'Token量价利'!C$19)*0))</x:f>
        <x:v>0.6749753279376332</x:v>
      </x:c>
      <x:c r="H68" s="42" t="n">
        <x:f>MAX(0.2,MIN(0.88,'口径映射'!$D$30+('模型参数'!$B$17-SUMPRODUCT($F$56:$F$61,'口径映射'!$B$29:$B$34)/MAX(0.01,$F$63))+('Token量价利'!D$16-'Token量价利'!D$19)*0))</x:f>
        <x:v>0.694975327937633</x:v>
      </x:c>
      <x:c r="I68" s="42" t="n">
        <x:f>MAX(0.2,MIN(0.88,'口径映射'!$E$30+('模型参数'!$B$17-SUMPRODUCT($F$56:$F$61,'口径映射'!$B$29:$B$34)/MAX(0.01,$F$63))+('Token量价利'!E$16-'Token量价利'!E$19)*0))</x:f>
        <x:v>0.714975327937633</x:v>
      </x:c>
      <x:c r="J68" s="42" t="n">
        <x:f>MAX(0.2,MIN(0.88,'口径映射'!$F$30+('模型参数'!$B$17-SUMPRODUCT($F$56:$F$61,'口径映射'!$B$29:$B$34)/MAX(0.01,$F$63))+('Token量价利'!F$16-'Token量价利'!F$19)*0))</x:f>
        <x:v>0.734975327937633</x:v>
      </x:c>
      <x:c r="R68" s="44"/>
      <x:c r="S68" s="44"/>
      <x:c r="T68" s="44"/>
      <x:c r="U68" s="44"/>
      <x:c r="V68" s="44"/>
      <x:c r="W68" s="44"/>
      <x:c r="X68" s="44"/>
      <x:c r="Y68" s="44"/>
      <x:c r="Z68" s="44"/>
      <x:c r="AA68" s="44"/>
      <x:c r="AB68" s="44"/>
      <x:c r="AC68" s="44"/>
      <x:c r="AD68" s="44"/>
      <x:c r="AE68" s="44"/>
      <x:c r="AF68" s="44"/>
      <x:c r="AG68" s="44"/>
      <x:c r="AH68" s="44"/>
      <x:c r="AI68" s="44"/>
      <x:c r="AJ68" s="44"/>
      <x:c r="AK68" s="44"/>
      <x:c r="AL68" s="44"/>
      <x:c r="AM68" s="44"/>
      <x:c r="AN68" s="44"/>
      <x:c r="AO68" s="44"/>
      <x:c r="AP68" s="44"/>
      <x:c r="AQ68" s="44"/>
      <x:c r="AR68" s="44"/>
      <x:c r="AS68" s="44"/>
      <x:c r="AT68" s="44"/>
      <x:c r="AU68" s="44"/>
      <x:c r="AV68" s="44"/>
      <x:c r="AW68" s="44"/>
      <x:c r="AX68" s="44"/>
      <x:c r="AY68" s="44"/>
      <x:c r="AZ68" s="44"/>
      <x:c r="BA68" s="44"/>
      <x:c r="BB68" s="44"/>
      <x:c r="BC68" s="44"/>
      <x:c r="BD68" s="44"/>
      <x:c r="BE68" s="44"/>
      <x:c r="BF68" s="44"/>
      <x:c r="BG68" s="44"/>
      <x:c r="BH68" s="44"/>
      <x:c r="BI68" s="44"/>
      <x:c r="BJ68" s="44"/>
      <x:c r="BK68" s="44"/>
      <x:c r="BL68" s="44"/>
      <x:c r="BM68" s="44"/>
      <x:c r="BN68" s="44"/>
      <x:c r="BO68" s="44"/>
      <x:c r="BP68" s="44"/>
      <x:c r="BQ68" s="44"/>
      <x:c r="BR68" s="44"/>
      <x:c r="BS68" s="44"/>
      <x:c r="BT68" s="44"/>
      <x:c r="BU68" s="44"/>
      <x:c r="BV68" s="44"/>
      <x:c r="BW68" s="44"/>
      <x:c r="BX68" s="44"/>
      <x:c r="BY68" s="44"/>
      <x:c r="BZ68" s="44"/>
      <x:c r="CA68" s="44"/>
      <x:c r="CB68" s="44"/>
      <x:c r="CC68" s="44"/>
      <x:c r="CD68" s="44"/>
      <x:c r="CE68" s="44"/>
      <x:c r="CF68" s="44"/>
      <x:c r="CG68" s="44"/>
      <x:c r="CH68" s="44"/>
      <x:c r="CI68" s="44"/>
    </x:row>
    <x:row r="69" ht="15" hidden="0" customHeight="1">
      <x:c r="A69" s="16" t="str">
        <x:v>云AI与模型即服务（MaaS）收入</x:v>
      </x:c>
      <x:c r="B69" s="42" t="n">
        <x:f>B$32</x:f>
        <x:v>0.43</x:v>
      </x:c>
      <x:c r="C69" s="42" t="n">
        <x:f>C$32</x:f>
        <x:v>0.44</x:v>
      </x:c>
      <x:c r="D69" s="42" t="n">
        <x:f>D$32</x:f>
        <x:v>0.47</x:v>
      </x:c>
      <x:c r="E69" s="42" t="n">
        <x:f>E$32</x:f>
        <x:v>0.48</x:v>
      </x:c>
      <x:c r="F69" s="42" t="n">
        <x:f>MAX(0.2,MIN(0.88,'口径映射'!$B$31+('模型参数'!$B$17-SUMPRODUCT($F$56:$F$61,'口径映射'!$B$29:$B$34)/MAX(0.01,$F$63))+('Token量价利'!B$16-'Token量价利'!B$19)*0.25))</x:f>
        <x:v>0.45497532793763307</x:v>
      </x:c>
      <x:c r="G69" s="42" t="n">
        <x:f>MAX(0.2,MIN(0.88,'口径映射'!$C$31+('模型参数'!$B$17-SUMPRODUCT($F$56:$F$61,'口径映射'!$B$29:$B$34)/MAX(0.01,$F$63))+('Token量价利'!C$16-'Token量价利'!C$19)*0.25))</x:f>
        <x:v>0.47497532793763303</x:v>
      </x:c>
      <x:c r="H69" s="42" t="n">
        <x:f>MAX(0.2,MIN(0.88,'口径映射'!$D$31+('模型参数'!$B$17-SUMPRODUCT($F$56:$F$61,'口径映射'!$B$29:$B$34)/MAX(0.01,$F$63))+('Token量价利'!D$16-'Token量价利'!D$19)*0.25))</x:f>
        <x:v>0.494975327937633</x:v>
      </x:c>
      <x:c r="I69" s="42" t="n">
        <x:f>MAX(0.2,MIN(0.88,'口径映射'!$E$31+('模型参数'!$B$17-SUMPRODUCT($F$56:$F$61,'口径映射'!$B$29:$B$34)/MAX(0.01,$F$63))+('Token量价利'!E$16-'Token量价利'!E$19)*0.25))</x:f>
        <x:v>0.514975327937633</x:v>
      </x:c>
      <x:c r="J69" s="42" t="n">
        <x:f>MAX(0.2,MIN(0.88,'口径映射'!$F$31+('模型参数'!$B$17-SUMPRODUCT($F$56:$F$61,'口径映射'!$B$29:$B$34)/MAX(0.01,$F$63))+('Token量价利'!F$16-'Token量价利'!F$19)*0.25))</x:f>
        <x:v>0.534975327937633</x:v>
      </x:c>
      <x:c r="R69" s="44"/>
      <x:c r="S69" s="44"/>
      <x:c r="T69" s="44"/>
      <x:c r="U69" s="44"/>
      <x:c r="V69" s="44"/>
      <x:c r="W69" s="44"/>
      <x:c r="X69" s="44"/>
      <x:c r="Y69" s="44"/>
      <x:c r="Z69" s="44"/>
      <x:c r="AA69" s="44"/>
      <x:c r="AB69" s="44"/>
      <x:c r="AC69" s="44"/>
      <x:c r="AD69" s="44"/>
      <x:c r="AE69" s="44"/>
      <x:c r="AF69" s="44"/>
      <x:c r="AG69" s="44"/>
      <x:c r="AH69" s="44"/>
      <x:c r="AI69" s="44"/>
      <x:c r="AJ69" s="44"/>
      <x:c r="AK69" s="44"/>
      <x:c r="AL69" s="44"/>
      <x:c r="AM69" s="44"/>
      <x:c r="AN69" s="44"/>
      <x:c r="AO69" s="44"/>
      <x:c r="AP69" s="44"/>
      <x:c r="AQ69" s="44"/>
      <x:c r="AR69" s="44"/>
      <x:c r="AS69" s="44"/>
      <x:c r="AT69" s="44"/>
      <x:c r="AU69" s="44"/>
      <x:c r="AV69" s="44"/>
      <x:c r="AW69" s="44"/>
      <x:c r="AX69" s="44"/>
      <x:c r="AY69" s="44"/>
      <x:c r="AZ69" s="44"/>
      <x:c r="BA69" s="44"/>
      <x:c r="BB69" s="44"/>
      <x:c r="BC69" s="44"/>
      <x:c r="BD69" s="44"/>
      <x:c r="BE69" s="44"/>
      <x:c r="BF69" s="44"/>
      <x:c r="BG69" s="44"/>
      <x:c r="BH69" s="44"/>
      <x:c r="BI69" s="44"/>
      <x:c r="BJ69" s="44"/>
      <x:c r="BK69" s="44"/>
      <x:c r="BL69" s="44"/>
      <x:c r="BM69" s="44"/>
      <x:c r="BN69" s="44"/>
      <x:c r="BO69" s="44"/>
      <x:c r="BP69" s="44"/>
      <x:c r="BQ69" s="44"/>
      <x:c r="BR69" s="44"/>
      <x:c r="BS69" s="44"/>
      <x:c r="BT69" s="44"/>
      <x:c r="BU69" s="44"/>
      <x:c r="BV69" s="44"/>
      <x:c r="BW69" s="44"/>
      <x:c r="BX69" s="44"/>
      <x:c r="BY69" s="44"/>
      <x:c r="BZ69" s="44"/>
      <x:c r="CA69" s="44"/>
      <x:c r="CB69" s="44"/>
      <x:c r="CC69" s="44"/>
      <x:c r="CD69" s="44"/>
      <x:c r="CE69" s="44"/>
      <x:c r="CF69" s="44"/>
      <x:c r="CG69" s="44"/>
      <x:c r="CH69" s="44"/>
      <x:c r="CI69" s="44"/>
    </x:row>
    <x:row r="70" ht="15" hidden="0" customHeight="1">
      <x:c r="A70" s="16" t="str">
        <x:v>大厂自有AI应用收入</x:v>
      </x:c>
      <x:c r="B70" s="42" t="n">
        <x:f>B$32</x:f>
        <x:v>0.43</x:v>
      </x:c>
      <x:c r="C70" s="42" t="n">
        <x:f>C$32</x:f>
        <x:v>0.44</x:v>
      </x:c>
      <x:c r="D70" s="42" t="n">
        <x:f>D$32</x:f>
        <x:v>0.47</x:v>
      </x:c>
      <x:c r="E70" s="42" t="n">
        <x:f>E$32</x:f>
        <x:v>0.48</x:v>
      </x:c>
      <x:c r="F70" s="42" t="n">
        <x:f>MAX(0.2,MIN(0.88,'口径映射'!$B$32+('模型参数'!$B$17-SUMPRODUCT($F$56:$F$61,'口径映射'!$B$29:$B$34)/MAX(0.01,$F$63))+('Token量价利'!B$16-'Token量价利'!B$19)*0))</x:f>
        <x:v>0.704975327937633</x:v>
      </x:c>
      <x:c r="G70" s="42" t="n">
        <x:f>MAX(0.2,MIN(0.88,'口径映射'!$C$32+('模型参数'!$B$17-SUMPRODUCT($F$56:$F$61,'口径映射'!$B$29:$B$34)/MAX(0.01,$F$63))+('Token量价利'!C$16-'Token量价利'!C$19)*0))</x:f>
        <x:v>0.724975327937633</x:v>
      </x:c>
      <x:c r="H70" s="42" t="n">
        <x:f>MAX(0.2,MIN(0.88,'口径映射'!$D$32+('模型参数'!$B$17-SUMPRODUCT($F$56:$F$61,'口径映射'!$B$29:$B$34)/MAX(0.01,$F$63))+('Token量价利'!D$16-'Token量价利'!D$19)*0))</x:f>
        <x:v>0.744975327937633</x:v>
      </x:c>
      <x:c r="I70" s="42" t="n">
        <x:f>MAX(0.2,MIN(0.88,'口径映射'!$E$32+('模型参数'!$B$17-SUMPRODUCT($F$56:$F$61,'口径映射'!$B$29:$B$34)/MAX(0.01,$F$63))+('Token量价利'!E$16-'Token量价利'!E$19)*0))</x:f>
        <x:v>0.764975327937633</x:v>
      </x:c>
      <x:c r="J70" s="42" t="n">
        <x:f>MAX(0.2,MIN(0.88,'口径映射'!$F$32+('模型参数'!$B$17-SUMPRODUCT($F$56:$F$61,'口径映射'!$B$29:$B$34)/MAX(0.01,$F$63))+('Token量价利'!F$16-'Token量价利'!F$19)*0))</x:f>
        <x:v>0.784975327937633</x:v>
      </x:c>
      <x:c r="R70" s="44"/>
      <x:c r="S70" s="44"/>
      <x:c r="T70" s="44"/>
      <x:c r="U70" s="44"/>
      <x:c r="V70" s="44"/>
      <x:c r="W70" s="44"/>
      <x:c r="X70" s="44"/>
      <x:c r="Y70" s="44"/>
      <x:c r="Z70" s="44"/>
      <x:c r="AA70" s="44"/>
      <x:c r="AB70" s="44"/>
      <x:c r="AC70" s="44"/>
      <x:c r="AD70" s="44"/>
      <x:c r="AE70" s="44"/>
      <x:c r="AF70" s="44"/>
      <x:c r="AG70" s="44"/>
      <x:c r="AH70" s="44"/>
      <x:c r="AI70" s="44"/>
      <x:c r="AJ70" s="44"/>
      <x:c r="AK70" s="44"/>
      <x:c r="AL70" s="44"/>
      <x:c r="AM70" s="44"/>
      <x:c r="AN70" s="44"/>
      <x:c r="AO70" s="44"/>
      <x:c r="AP70" s="44"/>
      <x:c r="AQ70" s="44"/>
      <x:c r="AR70" s="44"/>
      <x:c r="AS70" s="44"/>
      <x:c r="AT70" s="44"/>
      <x:c r="AU70" s="44"/>
      <x:c r="AV70" s="44"/>
      <x:c r="AW70" s="44"/>
      <x:c r="AX70" s="44"/>
      <x:c r="AY70" s="44"/>
      <x:c r="AZ70" s="44"/>
      <x:c r="BA70" s="44"/>
      <x:c r="BB70" s="44"/>
      <x:c r="BC70" s="44"/>
      <x:c r="BD70" s="44"/>
      <x:c r="BE70" s="44"/>
      <x:c r="BF70" s="44"/>
      <x:c r="BG70" s="44"/>
      <x:c r="BH70" s="44"/>
      <x:c r="BI70" s="44"/>
      <x:c r="BJ70" s="44"/>
      <x:c r="BK70" s="44"/>
      <x:c r="BL70" s="44"/>
      <x:c r="BM70" s="44"/>
      <x:c r="BN70" s="44"/>
      <x:c r="BO70" s="44"/>
      <x:c r="BP70" s="44"/>
      <x:c r="BQ70" s="44"/>
      <x:c r="BR70" s="44"/>
      <x:c r="BS70" s="44"/>
      <x:c r="BT70" s="44"/>
      <x:c r="BU70" s="44"/>
      <x:c r="BV70" s="44"/>
      <x:c r="BW70" s="44"/>
      <x:c r="BX70" s="44"/>
      <x:c r="BY70" s="44"/>
      <x:c r="BZ70" s="44"/>
      <x:c r="CA70" s="44"/>
      <x:c r="CB70" s="44"/>
      <x:c r="CC70" s="44"/>
      <x:c r="CD70" s="44"/>
      <x:c r="CE70" s="44"/>
      <x:c r="CF70" s="44"/>
      <x:c r="CG70" s="44"/>
      <x:c r="CH70" s="44"/>
      <x:c r="CI70" s="44"/>
    </x:row>
    <x:row r="71" ht="15" hidden="0" customHeight="1">
      <x:c r="A71" s="16" t="str">
        <x:v>AI服务与行业解决方案收入</x:v>
      </x:c>
      <x:c r="B71" s="42" t="n">
        <x:f>B$32</x:f>
        <x:v>0.43</x:v>
      </x:c>
      <x:c r="C71" s="42" t="n">
        <x:f>C$32</x:f>
        <x:v>0.44</x:v>
      </x:c>
      <x:c r="D71" s="42" t="n">
        <x:f>D$32</x:f>
        <x:v>0.47</x:v>
      </x:c>
      <x:c r="E71" s="42" t="n">
        <x:f>E$32</x:f>
        <x:v>0.48</x:v>
      </x:c>
      <x:c r="F71" s="42" t="n">
        <x:f>MAX(0.2,MIN(0.88,'口径映射'!$B$33+('模型参数'!$B$17-SUMPRODUCT($F$56:$F$61,'口径映射'!$B$29:$B$34)/MAX(0.01,$F$63))+('Token量价利'!B$16-'Token量价利'!B$19)*0))</x:f>
        <x:v>0.32497532793763306</x:v>
      </x:c>
      <x:c r="G71" s="42" t="n">
        <x:f>MAX(0.2,MIN(0.88,'口径映射'!$C$33+('模型参数'!$B$17-SUMPRODUCT($F$56:$F$61,'口径映射'!$B$29:$B$34)/MAX(0.01,$F$63))+('Token量价利'!C$16-'Token量价利'!C$19)*0))</x:f>
        <x:v>0.3449753279376331</x:v>
      </x:c>
      <x:c r="H71" s="42" t="n">
        <x:f>MAX(0.2,MIN(0.88,'口径映射'!$D$33+('模型参数'!$B$17-SUMPRODUCT($F$56:$F$61,'口径映射'!$B$29:$B$34)/MAX(0.01,$F$63))+('Token量价利'!D$16-'Token量价利'!D$19)*0))</x:f>
        <x:v>0.36497532793763304</x:v>
      </x:c>
      <x:c r="I71" s="42" t="n">
        <x:f>MAX(0.2,MIN(0.88,'口径映射'!$E$33+('模型参数'!$B$17-SUMPRODUCT($F$56:$F$61,'口径映射'!$B$29:$B$34)/MAX(0.01,$F$63))+('Token量价利'!E$16-'Token量价利'!E$19)*0))</x:f>
        <x:v>0.38497532793763306</x:v>
      </x:c>
      <x:c r="J71" s="42" t="n">
        <x:f>MAX(0.2,MIN(0.88,'口径映射'!$F$33+('模型参数'!$B$17-SUMPRODUCT($F$56:$F$61,'口径映射'!$B$29:$B$34)/MAX(0.01,$F$63))+('Token量价利'!F$16-'Token量价利'!F$19)*0))</x:f>
        <x:v>0.4049753279376331</x:v>
      </x:c>
      <x:c r="R71" s="44"/>
      <x:c r="S71" s="44"/>
      <x:c r="T71" s="44"/>
      <x:c r="U71" s="44"/>
      <x:c r="V71" s="44"/>
      <x:c r="W71" s="44"/>
      <x:c r="X71" s="44"/>
      <x:c r="Y71" s="44"/>
      <x:c r="Z71" s="44"/>
      <x:c r="AA71" s="44"/>
      <x:c r="AB71" s="44"/>
      <x:c r="AC71" s="44"/>
      <x:c r="AD71" s="44"/>
      <x:c r="AE71" s="44"/>
      <x:c r="AF71" s="44"/>
      <x:c r="AG71" s="44"/>
      <x:c r="AH71" s="44"/>
      <x:c r="AI71" s="44"/>
      <x:c r="AJ71" s="44"/>
      <x:c r="AK71" s="44"/>
      <x:c r="AL71" s="44"/>
      <x:c r="AM71" s="44"/>
      <x:c r="AN71" s="44"/>
      <x:c r="AO71" s="44"/>
      <x:c r="AP71" s="44"/>
      <x:c r="AQ71" s="44"/>
      <x:c r="AR71" s="44"/>
      <x:c r="AS71" s="44"/>
      <x:c r="AT71" s="44"/>
      <x:c r="AU71" s="44"/>
      <x:c r="AV71" s="44"/>
      <x:c r="AW71" s="44"/>
      <x:c r="AX71" s="44"/>
      <x:c r="AY71" s="44"/>
      <x:c r="AZ71" s="44"/>
      <x:c r="BA71" s="44"/>
      <x:c r="BB71" s="44"/>
      <x:c r="BC71" s="44"/>
      <x:c r="BD71" s="44"/>
      <x:c r="BE71" s="44"/>
      <x:c r="BF71" s="44"/>
      <x:c r="BG71" s="44"/>
      <x:c r="BH71" s="44"/>
      <x:c r="BI71" s="44"/>
      <x:c r="BJ71" s="44"/>
      <x:c r="BK71" s="44"/>
      <x:c r="BL71" s="44"/>
      <x:c r="BM71" s="44"/>
      <x:c r="BN71" s="44"/>
      <x:c r="BO71" s="44"/>
      <x:c r="BP71" s="44"/>
      <x:c r="BQ71" s="44"/>
      <x:c r="BR71" s="44"/>
      <x:c r="BS71" s="44"/>
      <x:c r="BT71" s="44"/>
      <x:c r="BU71" s="44"/>
      <x:c r="BV71" s="44"/>
      <x:c r="BW71" s="44"/>
      <x:c r="BX71" s="44"/>
      <x:c r="BY71" s="44"/>
      <x:c r="BZ71" s="44"/>
      <x:c r="CA71" s="44"/>
      <x:c r="CB71" s="44"/>
      <x:c r="CC71" s="44"/>
      <x:c r="CD71" s="44"/>
      <x:c r="CE71" s="44"/>
      <x:c r="CF71" s="44"/>
      <x:c r="CG71" s="44"/>
      <x:c r="CH71" s="44"/>
      <x:c r="CI71" s="44"/>
    </x:row>
    <x:row r="72" ht="15" hidden="0" customHeight="1">
      <x:c r="A72" s="16" t="str">
        <x:v>嵌入式AI增量收入</x:v>
      </x:c>
      <x:c r="B72" s="42" t="n">
        <x:f>B$32</x:f>
        <x:v>0.43</x:v>
      </x:c>
      <x:c r="C72" s="42" t="n">
        <x:f>C$32</x:f>
        <x:v>0.44</x:v>
      </x:c>
      <x:c r="D72" s="42" t="n">
        <x:f>D$32</x:f>
        <x:v>0.47</x:v>
      </x:c>
      <x:c r="E72" s="42" t="n">
        <x:f>E$32</x:f>
        <x:v>0.48</x:v>
      </x:c>
      <x:c r="F72" s="42" t="n">
        <x:f>MAX(0.2,MIN(0.88,'口径映射'!$B$34+('模型参数'!$B$17-SUMPRODUCT($F$56:$F$61,'口径映射'!$B$29:$B$34)/MAX(0.01,$F$63))+('Token量价利'!B$16-'Token量价利'!B$19)*0))</x:f>
        <x:v>0.754975327937633</x:v>
      </x:c>
      <x:c r="G72" s="42" t="n">
        <x:f>MAX(0.2,MIN(0.88,'口径映射'!$C$34+('模型参数'!$B$17-SUMPRODUCT($F$56:$F$61,'口径映射'!$B$29:$B$34)/MAX(0.01,$F$63))+('Token量价利'!C$16-'Token量价利'!C$19)*0))</x:f>
        <x:v>0.774975327937633</x:v>
      </x:c>
      <x:c r="H72" s="42" t="n">
        <x:f>MAX(0.2,MIN(0.88,'口径映射'!$D$34+('模型参数'!$B$17-SUMPRODUCT($F$56:$F$61,'口径映射'!$B$29:$B$34)/MAX(0.01,$F$63))+('Token量价利'!D$16-'Token量价利'!D$19)*0))</x:f>
        <x:v>0.794975327937633</x:v>
      </x:c>
      <x:c r="I72" s="42" t="n">
        <x:f>MAX(0.2,MIN(0.88,'口径映射'!$E$34+('模型参数'!$B$17-SUMPRODUCT($F$56:$F$61,'口径映射'!$B$29:$B$34)/MAX(0.01,$F$63))+('Token量价利'!E$16-'Token量价利'!E$19)*0))</x:f>
        <x:v>0.814975327937633</x:v>
      </x:c>
      <x:c r="J72" s="42" t="n">
        <x:f>MAX(0.2,MIN(0.88,'口径映射'!$F$34+('模型参数'!$B$17-SUMPRODUCT($F$56:$F$61,'口径映射'!$B$29:$B$34)/MAX(0.01,$F$63))+('Token量价利'!F$16-'Token量价利'!F$19)*0))</x:f>
        <x:v>0.8349753279376331</x:v>
      </x:c>
      <x:c r="R72" s="44"/>
      <x:c r="S72" s="44"/>
      <x:c r="T72" s="44"/>
      <x:c r="U72" s="44"/>
      <x:c r="V72" s="44"/>
      <x:c r="W72" s="44"/>
      <x:c r="X72" s="44"/>
      <x:c r="Y72" s="44"/>
      <x:c r="Z72" s="44"/>
      <x:c r="AA72" s="44"/>
      <x:c r="AB72" s="44"/>
      <x:c r="AC72" s="44"/>
      <x:c r="AD72" s="44"/>
      <x:c r="AE72" s="44"/>
      <x:c r="AF72" s="44"/>
      <x:c r="AG72" s="44"/>
      <x:c r="AH72" s="44"/>
      <x:c r="AI72" s="44"/>
      <x:c r="AJ72" s="44"/>
      <x:c r="AK72" s="44"/>
      <x:c r="AL72" s="44"/>
      <x:c r="AM72" s="44"/>
      <x:c r="AN72" s="44"/>
      <x:c r="AO72" s="44"/>
      <x:c r="AP72" s="44"/>
      <x:c r="AQ72" s="44"/>
      <x:c r="AR72" s="44"/>
      <x:c r="AS72" s="44"/>
      <x:c r="AT72" s="44"/>
      <x:c r="AU72" s="44"/>
      <x:c r="AV72" s="44"/>
      <x:c r="AW72" s="44"/>
      <x:c r="AX72" s="44"/>
      <x:c r="AY72" s="44"/>
      <x:c r="AZ72" s="44"/>
      <x:c r="BA72" s="44"/>
      <x:c r="BB72" s="44"/>
      <x:c r="BC72" s="44"/>
      <x:c r="BD72" s="44"/>
      <x:c r="BE72" s="44"/>
      <x:c r="BF72" s="44"/>
      <x:c r="BG72" s="44"/>
      <x:c r="BH72" s="44"/>
      <x:c r="BI72" s="44"/>
      <x:c r="BJ72" s="44"/>
      <x:c r="BK72" s="44"/>
      <x:c r="BL72" s="44"/>
      <x:c r="BM72" s="44"/>
      <x:c r="BN72" s="44"/>
      <x:c r="BO72" s="44"/>
      <x:c r="BP72" s="44"/>
      <x:c r="BQ72" s="44"/>
      <x:c r="BR72" s="44"/>
      <x:c r="BS72" s="44"/>
      <x:c r="BT72" s="44"/>
      <x:c r="BU72" s="44"/>
      <x:c r="BV72" s="44"/>
      <x:c r="BW72" s="44"/>
      <x:c r="BX72" s="44"/>
      <x:c r="BY72" s="44"/>
      <x:c r="BZ72" s="44"/>
      <x:c r="CA72" s="44"/>
      <x:c r="CB72" s="44"/>
      <x:c r="CC72" s="44"/>
      <x:c r="CD72" s="44"/>
      <x:c r="CE72" s="44"/>
      <x:c r="CF72" s="44"/>
      <x:c r="CG72" s="44"/>
      <x:c r="CH72" s="44"/>
      <x:c r="CI72" s="44"/>
    </x:row>
    <x:row r="73" ht="15" hidden="0" customHeight="1">
      <x:c r="A73" s="123" t="str">
        <x:v>六类终端收入加权毛利率</x:v>
      </x:c>
      <x:c r="B73" s="129" t="n">
        <x:f>SUMPRODUCT(B56:B61,B67:B72)/MAX(0.01,B63)</x:f>
        <x:v>0.43000000000000005</x:v>
      </x:c>
      <x:c r="C73" s="129" t="n">
        <x:f>SUMPRODUCT(C56:C61,C67:C72)/MAX(0.01,C63)</x:f>
        <x:v>0.4399999999999999</x:v>
      </x:c>
      <x:c r="D73" s="129" t="n">
        <x:f>SUMPRODUCT(D56:D61,D67:D72)/MAX(0.01,D63)</x:f>
        <x:v>0.47</x:v>
      </x:c>
      <x:c r="E73" s="129" t="n">
        <x:f>SUMPRODUCT(E56:E61,E67:E72)/MAX(0.01,E63)</x:f>
        <x:v>0.48000000000000004</x:v>
      </x:c>
      <x:c r="F73" s="129" t="n">
        <x:f>SUMPRODUCT(F56:F61,F67:F72)/MAX(0.01,F63)</x:f>
        <x:v>0.5</x:v>
      </x:c>
      <x:c r="G73" s="129" t="n">
        <x:f>SUMPRODUCT(G56:G61,G67:G72)/MAX(0.01,G63)</x:f>
        <x:v>0.5390966935815701</x:v>
      </x:c>
      <x:c r="H73" s="129" t="n">
        <x:f>SUMPRODUCT(H56:H61,H67:H72)/MAX(0.01,H63)</x:f>
        <x:v>0.5746192035683532</x:v>
      </x:c>
      <x:c r="I73" s="129" t="n">
        <x:f>SUMPRODUCT(I56:I61,I67:I72)/MAX(0.01,I63)</x:f>
        <x:v>0.6050766025680274</x:v>
      </x:c>
      <x:c r="J73" s="129" t="n">
        <x:f>SUMPRODUCT(J56:J61,J67:J72)/MAX(0.01,J63)</x:f>
        <x:v>0.6310374348285742</x:v>
      </x:c>
      <x:c r="R73" s="44"/>
      <x:c r="S73" s="44"/>
      <x:c r="T73" s="44"/>
      <x:c r="U73" s="44"/>
      <x:c r="V73" s="44"/>
      <x:c r="W73" s="44"/>
      <x:c r="X73" s="44"/>
      <x:c r="Y73" s="44"/>
      <x:c r="Z73" s="44"/>
      <x:c r="AA73" s="44"/>
      <x:c r="AB73" s="44"/>
      <x:c r="AC73" s="44"/>
      <x:c r="AD73" s="44"/>
      <x:c r="AE73" s="44"/>
      <x:c r="AF73" s="44"/>
      <x:c r="AG73" s="44"/>
      <x:c r="AH73" s="44"/>
      <x:c r="AI73" s="44"/>
      <x:c r="AJ73" s="44"/>
      <x:c r="AK73" s="44"/>
      <x:c r="AL73" s="44"/>
      <x:c r="AM73" s="44"/>
      <x:c r="AN73" s="44"/>
      <x:c r="AO73" s="44"/>
      <x:c r="AP73" s="44"/>
      <x:c r="AQ73" s="44"/>
      <x:c r="AR73" s="44"/>
      <x:c r="AS73" s="44"/>
      <x:c r="AT73" s="44"/>
      <x:c r="AU73" s="44"/>
      <x:c r="AV73" s="44"/>
      <x:c r="AW73" s="44"/>
      <x:c r="AX73" s="44"/>
      <x:c r="AY73" s="44"/>
      <x:c r="AZ73" s="44"/>
      <x:c r="BA73" s="44"/>
      <x:c r="BB73" s="44"/>
      <x:c r="BC73" s="44"/>
      <x:c r="BD73" s="44"/>
      <x:c r="BE73" s="44"/>
      <x:c r="BF73" s="44"/>
      <x:c r="BG73" s="44"/>
      <x:c r="BH73" s="44"/>
      <x:c r="BI73" s="44"/>
      <x:c r="BJ73" s="44"/>
      <x:c r="BK73" s="44"/>
      <x:c r="BL73" s="44"/>
      <x:c r="BM73" s="44"/>
      <x:c r="BN73" s="44"/>
      <x:c r="BO73" s="44"/>
      <x:c r="BP73" s="44"/>
      <x:c r="BQ73" s="44"/>
      <x:c r="BR73" s="44"/>
      <x:c r="BS73" s="44"/>
      <x:c r="BT73" s="44"/>
      <x:c r="BU73" s="44"/>
      <x:c r="BV73" s="44"/>
      <x:c r="BW73" s="44"/>
      <x:c r="BX73" s="44"/>
      <x:c r="BY73" s="44"/>
      <x:c r="BZ73" s="44"/>
      <x:c r="CA73" s="44"/>
      <x:c r="CB73" s="44"/>
      <x:c r="CC73" s="44"/>
      <x:c r="CD73" s="44"/>
      <x:c r="CE73" s="44"/>
      <x:c r="CF73" s="44"/>
      <x:c r="CG73" s="44"/>
      <x:c r="CH73" s="44"/>
      <x:c r="CI73" s="44"/>
    </x:row>
    <x:row r="74">
      <x:c r="R74" s="44"/>
      <x:c r="S74" s="44"/>
      <x:c r="T74" s="44"/>
      <x:c r="U74" s="44"/>
      <x:c r="V74" s="44"/>
      <x:c r="W74" s="44"/>
      <x:c r="X74" s="44"/>
      <x:c r="Y74" s="44"/>
      <x:c r="Z74" s="44"/>
      <x:c r="AA74" s="44"/>
      <x:c r="AB74" s="44"/>
      <x:c r="AC74" s="44"/>
      <x:c r="AD74" s="44"/>
      <x:c r="AE74" s="44"/>
      <x:c r="AF74" s="44"/>
      <x:c r="AG74" s="44"/>
      <x:c r="AH74" s="44"/>
      <x:c r="AI74" s="44"/>
      <x:c r="AJ74" s="44"/>
      <x:c r="AK74" s="44"/>
      <x:c r="AL74" s="44"/>
      <x:c r="AM74" s="44"/>
      <x:c r="AN74" s="44"/>
      <x:c r="AO74" s="44"/>
      <x:c r="AP74" s="44"/>
      <x:c r="AQ74" s="44"/>
      <x:c r="AR74" s="44"/>
      <x:c r="AS74" s="44"/>
      <x:c r="AT74" s="44"/>
      <x:c r="AU74" s="44"/>
      <x:c r="AV74" s="44"/>
      <x:c r="AW74" s="44"/>
      <x:c r="AX74" s="44"/>
      <x:c r="AY74" s="44"/>
      <x:c r="AZ74" s="44"/>
      <x:c r="BA74" s="44"/>
      <x:c r="BB74" s="44"/>
      <x:c r="BC74" s="44"/>
      <x:c r="BD74" s="44"/>
      <x:c r="BE74" s="44"/>
      <x:c r="BF74" s="44"/>
      <x:c r="BG74" s="44"/>
      <x:c r="BH74" s="44"/>
      <x:c r="BI74" s="44"/>
      <x:c r="BJ74" s="44"/>
      <x:c r="BK74" s="44"/>
      <x:c r="BL74" s="44"/>
      <x:c r="BM74" s="44"/>
      <x:c r="BN74" s="44"/>
      <x:c r="BO74" s="44"/>
      <x:c r="BP74" s="44"/>
      <x:c r="BQ74" s="44"/>
      <x:c r="BR74" s="44"/>
      <x:c r="BS74" s="44"/>
      <x:c r="BT74" s="44"/>
      <x:c r="BU74" s="44"/>
      <x:c r="BV74" s="44"/>
      <x:c r="BW74" s="44"/>
      <x:c r="BX74" s="44"/>
      <x:c r="BY74" s="44"/>
      <x:c r="BZ74" s="44"/>
      <x:c r="CA74" s="44"/>
      <x:c r="CB74" s="44"/>
      <x:c r="CC74" s="44"/>
      <x:c r="CD74" s="44"/>
      <x:c r="CE74" s="44"/>
      <x:c r="CF74" s="44"/>
      <x:c r="CG74" s="44"/>
      <x:c r="CH74" s="44"/>
      <x:c r="CI74" s="44"/>
    </x:row>
    <x:row r="75" ht="15" hidden="0" customHeight="1">
      <x:c r="A75" s="113" t="str">
        <x:v>六类AI产业贡献毛利｜去重终端收入×动态类别毛利率（亿美元）</x:v>
      </x:c>
      <x:c r="B75" s="113"/>
      <x:c r="C75" s="113"/>
      <x:c r="D75" s="113"/>
      <x:c r="E75" s="113"/>
      <x:c r="F75" s="113"/>
      <x:c r="G75" s="113"/>
      <x:c r="H75" s="113"/>
      <x:c r="I75" s="113"/>
      <x:c r="J75" s="113"/>
      <x:c r="R75" s="44"/>
      <x:c r="S75" s="44"/>
      <x:c r="T75" s="44"/>
      <x:c r="U75" s="44"/>
      <x:c r="V75" s="44"/>
      <x:c r="W75" s="44"/>
      <x:c r="X75" s="44"/>
      <x:c r="Y75" s="44"/>
      <x:c r="Z75" s="44"/>
      <x:c r="AA75" s="44"/>
      <x:c r="AB75" s="44"/>
      <x:c r="AC75" s="44"/>
      <x:c r="AD75" s="44"/>
      <x:c r="AE75" s="44"/>
      <x:c r="AF75" s="44"/>
      <x:c r="AG75" s="44"/>
      <x:c r="AH75" s="44"/>
      <x:c r="AI75" s="44"/>
      <x:c r="AJ75" s="44"/>
      <x:c r="AK75" s="44"/>
      <x:c r="AL75" s="44"/>
      <x:c r="AM75" s="44"/>
      <x:c r="AN75" s="44"/>
      <x:c r="AO75" s="44"/>
      <x:c r="AP75" s="44"/>
      <x:c r="AQ75" s="44"/>
      <x:c r="AR75" s="44"/>
      <x:c r="AS75" s="44"/>
      <x:c r="AT75" s="44"/>
      <x:c r="AU75" s="44"/>
      <x:c r="AV75" s="44"/>
      <x:c r="AW75" s="44"/>
      <x:c r="AX75" s="44"/>
      <x:c r="AY75" s="44"/>
      <x:c r="AZ75" s="44"/>
      <x:c r="BA75" s="44"/>
      <x:c r="BB75" s="44"/>
      <x:c r="BC75" s="44"/>
      <x:c r="BD75" s="44"/>
      <x:c r="BE75" s="44"/>
      <x:c r="BF75" s="44"/>
      <x:c r="BG75" s="44"/>
      <x:c r="BH75" s="44"/>
      <x:c r="BI75" s="44"/>
      <x:c r="BJ75" s="44"/>
      <x:c r="BK75" s="44"/>
      <x:c r="BL75" s="44"/>
      <x:c r="BM75" s="44"/>
      <x:c r="BN75" s="44"/>
      <x:c r="BO75" s="44"/>
      <x:c r="BP75" s="44"/>
      <x:c r="BQ75" s="44"/>
      <x:c r="BR75" s="44"/>
      <x:c r="BS75" s="44"/>
      <x:c r="BT75" s="44"/>
      <x:c r="BU75" s="44"/>
      <x:c r="BV75" s="44"/>
      <x:c r="BW75" s="44"/>
      <x:c r="BX75" s="44"/>
      <x:c r="BY75" s="44"/>
      <x:c r="BZ75" s="44"/>
      <x:c r="CA75" s="44"/>
      <x:c r="CB75" s="44"/>
      <x:c r="CC75" s="44"/>
      <x:c r="CD75" s="44"/>
      <x:c r="CE75" s="44"/>
      <x:c r="CF75" s="44"/>
      <x:c r="CG75" s="44"/>
      <x:c r="CH75" s="44"/>
      <x:c r="CI75" s="44"/>
    </x:row>
    <x:row r="76" ht="15" hidden="0" customHeight="1">
      <x:c r="A76" s="106" t="str">
        <x:v>收入类别</x:v>
      </x:c>
      <x:c r="B76" s="106" t="str">
        <x:v>2022A</x:v>
      </x:c>
      <x:c r="C76" s="106" t="str">
        <x:v>2023A</x:v>
      </x:c>
      <x:c r="D76" s="106" t="str">
        <x:v>2024A</x:v>
      </x:c>
      <x:c r="E76" s="106" t="str">
        <x:v>2025A</x:v>
      </x:c>
      <x:c r="F76" s="106" t="str">
        <x:v>2026E</x:v>
      </x:c>
      <x:c r="G76" s="106" t="str">
        <x:v>2027E</x:v>
      </x:c>
      <x:c r="H76" s="106" t="str">
        <x:v>2028E</x:v>
      </x:c>
      <x:c r="I76" s="106" t="str">
        <x:v>2029E</x:v>
      </x:c>
      <x:c r="J76" s="106" t="str">
        <x:v>2030E</x:v>
      </x:c>
      <x:c r="R76" s="44"/>
      <x:c r="S76" s="44"/>
      <x:c r="T76" s="44"/>
      <x:c r="U76" s="44"/>
      <x:c r="V76" s="44"/>
      <x:c r="W76" s="44"/>
      <x:c r="X76" s="44"/>
      <x:c r="Y76" s="44"/>
      <x:c r="Z76" s="44"/>
      <x:c r="AA76" s="44"/>
      <x:c r="AB76" s="44"/>
      <x:c r="AC76" s="44"/>
      <x:c r="AD76" s="44"/>
      <x:c r="AE76" s="44"/>
      <x:c r="AF76" s="44"/>
      <x:c r="AG76" s="44"/>
      <x:c r="AH76" s="44"/>
      <x:c r="AI76" s="44"/>
      <x:c r="AJ76" s="44"/>
      <x:c r="AK76" s="44"/>
      <x:c r="AL76" s="44"/>
      <x:c r="AM76" s="44"/>
      <x:c r="AN76" s="44"/>
      <x:c r="AO76" s="44"/>
      <x:c r="AP76" s="44"/>
      <x:c r="AQ76" s="44"/>
      <x:c r="AR76" s="44"/>
      <x:c r="AS76" s="44"/>
      <x:c r="AT76" s="44"/>
      <x:c r="AU76" s="44"/>
      <x:c r="AV76" s="44"/>
      <x:c r="AW76" s="44"/>
      <x:c r="AX76" s="44"/>
      <x:c r="AY76" s="44"/>
      <x:c r="AZ76" s="44"/>
      <x:c r="BA76" s="44"/>
      <x:c r="BB76" s="44"/>
      <x:c r="BC76" s="44"/>
      <x:c r="BD76" s="44"/>
      <x:c r="BE76" s="44"/>
      <x:c r="BF76" s="44"/>
      <x:c r="BG76" s="44"/>
      <x:c r="BH76" s="44"/>
      <x:c r="BI76" s="44"/>
      <x:c r="BJ76" s="44"/>
      <x:c r="BK76" s="44"/>
      <x:c r="BL76" s="44"/>
      <x:c r="BM76" s="44"/>
      <x:c r="BN76" s="44"/>
      <x:c r="BO76" s="44"/>
      <x:c r="BP76" s="44"/>
      <x:c r="BQ76" s="44"/>
      <x:c r="BR76" s="44"/>
      <x:c r="BS76" s="44"/>
      <x:c r="BT76" s="44"/>
      <x:c r="BU76" s="44"/>
      <x:c r="BV76" s="44"/>
      <x:c r="BW76" s="44"/>
      <x:c r="BX76" s="44"/>
      <x:c r="BY76" s="44"/>
      <x:c r="BZ76" s="44"/>
      <x:c r="CA76" s="44"/>
      <x:c r="CB76" s="44"/>
      <x:c r="CC76" s="44"/>
      <x:c r="CD76" s="44"/>
      <x:c r="CE76" s="44"/>
      <x:c r="CF76" s="44"/>
      <x:c r="CG76" s="44"/>
      <x:c r="CH76" s="44"/>
      <x:c r="CI76" s="44"/>
    </x:row>
    <x:row r="77" ht="15" hidden="0" customHeight="1">
      <x:c r="A77" s="16" t="str">
        <x:v>模型与API收入</x:v>
      </x:c>
      <x:c r="B77" s="40" t="n">
        <x:f>B56*B67</x:f>
        <x:v>1.935</x:v>
      </x:c>
      <x:c r="C77" s="40" t="n">
        <x:f>C56*C67</x:f>
        <x:v>4.4</x:v>
      </x:c>
      <x:c r="D77" s="40" t="n">
        <x:f>D56*D67</x:f>
        <x:v>40.89</x:v>
      </x:c>
      <x:c r="E77" s="40" t="n">
        <x:f>E56*E67</x:f>
        <x:v>166.32</x:v>
      </x:c>
      <x:c r="F77" s="40" t="n">
        <x:f>F56*F67</x:f>
        <x:v>325.78306390226044</x:v>
      </x:c>
      <x:c r="G77" s="40" t="n">
        <x:f>G56*G67</x:f>
        <x:v>698.3991371830031</x:v>
      </x:c>
      <x:c r="H77" s="40" t="n">
        <x:f>H56*H67</x:f>
        <x:v>1251.061583722522</x:v>
      </x:c>
      <x:c r="I77" s="40" t="n">
        <x:f>I56*I67</x:f>
        <x:v>2043.4950987027444</x:v>
      </x:c>
      <x:c r="J77" s="40" t="n">
        <x:f>J56*J67</x:f>
        <x:v>3194.7846443619746</x:v>
      </x:c>
      <x:c r="R77" s="44"/>
      <x:c r="S77" s="44"/>
      <x:c r="T77" s="44"/>
      <x:c r="U77" s="44"/>
      <x:c r="V77" s="44"/>
      <x:c r="W77" s="44"/>
      <x:c r="X77" s="44"/>
      <x:c r="Y77" s="44"/>
      <x:c r="Z77" s="44"/>
      <x:c r="AA77" s="44"/>
      <x:c r="AB77" s="44"/>
      <x:c r="AC77" s="44"/>
      <x:c r="AD77" s="44"/>
      <x:c r="AE77" s="44"/>
      <x:c r="AF77" s="44"/>
      <x:c r="AG77" s="44"/>
      <x:c r="AH77" s="44"/>
      <x:c r="AI77" s="44"/>
      <x:c r="AJ77" s="44"/>
      <x:c r="AK77" s="44"/>
      <x:c r="AL77" s="44"/>
      <x:c r="AM77" s="44"/>
      <x:c r="AN77" s="44"/>
      <x:c r="AO77" s="44"/>
      <x:c r="AP77" s="44"/>
      <x:c r="AQ77" s="44"/>
      <x:c r="AR77" s="44"/>
      <x:c r="AS77" s="44"/>
      <x:c r="AT77" s="44"/>
      <x:c r="AU77" s="44"/>
      <x:c r="AV77" s="44"/>
      <x:c r="AW77" s="44"/>
      <x:c r="AX77" s="44"/>
      <x:c r="AY77" s="44"/>
      <x:c r="AZ77" s="44"/>
      <x:c r="BA77" s="44"/>
      <x:c r="BB77" s="44"/>
      <x:c r="BC77" s="44"/>
      <x:c r="BD77" s="44"/>
      <x:c r="BE77" s="44"/>
      <x:c r="BF77" s="44"/>
      <x:c r="BG77" s="44"/>
      <x:c r="BH77" s="44"/>
      <x:c r="BI77" s="44"/>
      <x:c r="BJ77" s="44"/>
      <x:c r="BK77" s="44"/>
      <x:c r="BL77" s="44"/>
      <x:c r="BM77" s="44"/>
      <x:c r="BN77" s="44"/>
      <x:c r="BO77" s="44"/>
      <x:c r="BP77" s="44"/>
      <x:c r="BQ77" s="44"/>
      <x:c r="BR77" s="44"/>
      <x:c r="BS77" s="44"/>
      <x:c r="BT77" s="44"/>
      <x:c r="BU77" s="44"/>
      <x:c r="BV77" s="44"/>
      <x:c r="BW77" s="44"/>
      <x:c r="BX77" s="44"/>
      <x:c r="BY77" s="44"/>
      <x:c r="BZ77" s="44"/>
      <x:c r="CA77" s="44"/>
      <x:c r="CB77" s="44"/>
      <x:c r="CC77" s="44"/>
      <x:c r="CD77" s="44"/>
      <x:c r="CE77" s="44"/>
      <x:c r="CF77" s="44"/>
      <x:c r="CG77" s="44"/>
      <x:c r="CH77" s="44"/>
      <x:c r="CI77" s="44"/>
    </x:row>
    <x:row r="78" ht="15" hidden="0" customHeight="1">
      <x:c r="A78" s="16" t="str">
        <x:v>AI原生应用收入</x:v>
      </x:c>
      <x:c r="B78" s="40" t="n">
        <x:f>B57*B68</x:f>
        <x:v>1.935</x:v>
      </x:c>
      <x:c r="C78" s="40" t="n">
        <x:f>C57*C68</x:f>
        <x:v>6.6</x:v>
      </x:c>
      <x:c r="D78" s="40" t="n">
        <x:f>D57*D68</x:f>
        <x:v>21.808</x:v>
      </x:c>
      <x:c r="E78" s="40" t="n">
        <x:f>E57*E68</x:f>
        <x:v>60.48</x:v>
      </x:c>
      <x:c r="F78" s="40" t="n">
        <x:f>F57*F68</x:f>
        <x:v>222.3114232183401</x:v>
      </x:c>
      <x:c r="G78" s="40" t="n">
        <x:f>G57*G68</x:f>
        <x:v>744.1879839588594</x:v>
      </x:c>
      <x:c r="H78" s="40" t="n">
        <x:f>H57*H68</x:f>
        <x:v>1901.8817775699292</x:v>
      </x:c>
      <x:c r="I78" s="40" t="n">
        <x:f>I57*I68</x:f>
        <x:v>3773.989384740291</x:v>
      </x:c>
      <x:c r="J78" s="40" t="n">
        <x:f>J57*J68</x:f>
        <x:v>6561.657414292157</x:v>
      </x:c>
      <x:c r="R78" s="44"/>
      <x:c r="S78" s="44"/>
      <x:c r="T78" s="44"/>
      <x:c r="U78" s="44"/>
      <x:c r="V78" s="44"/>
      <x:c r="W78" s="44"/>
      <x:c r="X78" s="44"/>
      <x:c r="Y78" s="44"/>
      <x:c r="Z78" s="44"/>
      <x:c r="AA78" s="44"/>
      <x:c r="AB78" s="44"/>
      <x:c r="AC78" s="44"/>
      <x:c r="AD78" s="44"/>
      <x:c r="AE78" s="44"/>
      <x:c r="AF78" s="44"/>
      <x:c r="AG78" s="44"/>
      <x:c r="AH78" s="44"/>
      <x:c r="AI78" s="44"/>
      <x:c r="AJ78" s="44"/>
      <x:c r="AK78" s="44"/>
      <x:c r="AL78" s="44"/>
      <x:c r="AM78" s="44"/>
      <x:c r="AN78" s="44"/>
      <x:c r="AO78" s="44"/>
      <x:c r="AP78" s="44"/>
      <x:c r="AQ78" s="44"/>
      <x:c r="AR78" s="44"/>
      <x:c r="AS78" s="44"/>
      <x:c r="AT78" s="44"/>
      <x:c r="AU78" s="44"/>
      <x:c r="AV78" s="44"/>
      <x:c r="AW78" s="44"/>
      <x:c r="AX78" s="44"/>
      <x:c r="AY78" s="44"/>
      <x:c r="AZ78" s="44"/>
      <x:c r="BA78" s="44"/>
      <x:c r="BB78" s="44"/>
      <x:c r="BC78" s="44"/>
      <x:c r="BD78" s="44"/>
      <x:c r="BE78" s="44"/>
      <x:c r="BF78" s="44"/>
      <x:c r="BG78" s="44"/>
      <x:c r="BH78" s="44"/>
      <x:c r="BI78" s="44"/>
      <x:c r="BJ78" s="44"/>
      <x:c r="BK78" s="44"/>
      <x:c r="BL78" s="44"/>
      <x:c r="BM78" s="44"/>
      <x:c r="BN78" s="44"/>
      <x:c r="BO78" s="44"/>
      <x:c r="BP78" s="44"/>
      <x:c r="BQ78" s="44"/>
      <x:c r="BR78" s="44"/>
      <x:c r="BS78" s="44"/>
      <x:c r="BT78" s="44"/>
      <x:c r="BU78" s="44"/>
      <x:c r="BV78" s="44"/>
      <x:c r="BW78" s="44"/>
      <x:c r="BX78" s="44"/>
      <x:c r="BY78" s="44"/>
      <x:c r="BZ78" s="44"/>
      <x:c r="CA78" s="44"/>
      <x:c r="CB78" s="44"/>
      <x:c r="CC78" s="44"/>
      <x:c r="CD78" s="44"/>
      <x:c r="CE78" s="44"/>
      <x:c r="CF78" s="44"/>
      <x:c r="CG78" s="44"/>
      <x:c r="CH78" s="44"/>
      <x:c r="CI78" s="44"/>
    </x:row>
    <x:row r="79" ht="15" hidden="0" customHeight="1">
      <x:c r="A79" s="16" t="str">
        <x:v>云AI与模型即服务（MaaS）收入</x:v>
      </x:c>
      <x:c r="B79" s="40" t="n">
        <x:f>B58*B69</x:f>
        <x:v>9.675</x:v>
      </x:c>
      <x:c r="C79" s="40" t="n">
        <x:f>C58*C69</x:f>
        <x:v>26.4</x:v>
      </x:c>
      <x:c r="D79" s="40" t="n">
        <x:f>D58*D69</x:f>
        <x:v>76.32799999999999</x:v>
      </x:c>
      <x:c r="E79" s="40" t="n">
        <x:f>E58*E69</x:f>
        <x:v>257.03999999999996</x:v>
      </x:c>
      <x:c r="F79" s="40" t="n">
        <x:f>F58*F69</x:f>
        <x:v>234.5525017331843</x:v>
      </x:c>
      <x:c r="G79" s="40" t="n">
        <x:f>G58*G69</x:f>
        <x:v>603.5151126198779</x:v>
      </x:c>
      <x:c r="H79" s="40" t="n">
        <x:f>H58*H69</x:f>
        <x:v>1260.3756258661397</x:v>
      </x:c>
      <x:c r="I79" s="40" t="n">
        <x:f>I58*I69</x:f>
        <x:v>2370.2977834138883</x:v>
      </x:c>
      <x:c r="J79" s="40" t="n">
        <x:f>J58*J69</x:f>
        <x:v>4020.1699097110795</x:v>
      </x:c>
      <x:c r="R79" s="44"/>
      <x:c r="S79" s="44"/>
      <x:c r="T79" s="44"/>
      <x:c r="U79" s="44"/>
      <x:c r="V79" s="44"/>
      <x:c r="W79" s="44"/>
      <x:c r="X79" s="44"/>
      <x:c r="Y79" s="44"/>
      <x:c r="Z79" s="44"/>
      <x:c r="AA79" s="44"/>
      <x:c r="AB79" s="44"/>
      <x:c r="AC79" s="44"/>
      <x:c r="AD79" s="44"/>
      <x:c r="AE79" s="44"/>
      <x:c r="AF79" s="44"/>
      <x:c r="AG79" s="44"/>
      <x:c r="AH79" s="44"/>
      <x:c r="AI79" s="44"/>
      <x:c r="AJ79" s="44"/>
      <x:c r="AK79" s="44"/>
      <x:c r="AL79" s="44"/>
      <x:c r="AM79" s="44"/>
      <x:c r="AN79" s="44"/>
      <x:c r="AO79" s="44"/>
      <x:c r="AP79" s="44"/>
      <x:c r="AQ79" s="44"/>
      <x:c r="AR79" s="44"/>
      <x:c r="AS79" s="44"/>
      <x:c r="AT79" s="44"/>
      <x:c r="AU79" s="44"/>
      <x:c r="AV79" s="44"/>
      <x:c r="AW79" s="44"/>
      <x:c r="AX79" s="44"/>
      <x:c r="AY79" s="44"/>
      <x:c r="AZ79" s="44"/>
      <x:c r="BA79" s="44"/>
      <x:c r="BB79" s="44"/>
      <x:c r="BC79" s="44"/>
      <x:c r="BD79" s="44"/>
      <x:c r="BE79" s="44"/>
      <x:c r="BF79" s="44"/>
      <x:c r="BG79" s="44"/>
      <x:c r="BH79" s="44"/>
      <x:c r="BI79" s="44"/>
      <x:c r="BJ79" s="44"/>
      <x:c r="BK79" s="44"/>
      <x:c r="BL79" s="44"/>
      <x:c r="BM79" s="44"/>
      <x:c r="BN79" s="44"/>
      <x:c r="BO79" s="44"/>
      <x:c r="BP79" s="44"/>
      <x:c r="BQ79" s="44"/>
      <x:c r="BR79" s="44"/>
      <x:c r="BS79" s="44"/>
      <x:c r="BT79" s="44"/>
      <x:c r="BU79" s="44"/>
      <x:c r="BV79" s="44"/>
      <x:c r="BW79" s="44"/>
      <x:c r="BX79" s="44"/>
      <x:c r="BY79" s="44"/>
      <x:c r="BZ79" s="44"/>
      <x:c r="CA79" s="44"/>
      <x:c r="CB79" s="44"/>
      <x:c r="CC79" s="44"/>
      <x:c r="CD79" s="44"/>
      <x:c r="CE79" s="44"/>
      <x:c r="CF79" s="44"/>
      <x:c r="CG79" s="44"/>
      <x:c r="CH79" s="44"/>
      <x:c r="CI79" s="44"/>
    </x:row>
    <x:row r="80" ht="15" hidden="0" customHeight="1">
      <x:c r="A80" s="16" t="str">
        <x:v>大厂自有AI应用收入</x:v>
      </x:c>
      <x:c r="B80" s="40" t="n">
        <x:f>B59*B70</x:f>
        <x:v>1.935</x:v>
      </x:c>
      <x:c r="C80" s="40" t="n">
        <x:f>C59*C70</x:f>
        <x:v>4.4</x:v>
      </x:c>
      <x:c r="D80" s="40" t="n">
        <x:f>D59*D70</x:f>
        <x:v>10.904</x:v>
      </x:c>
      <x:c r="E80" s="40" t="n">
        <x:f>E59*E70</x:f>
        <x:v>75.6</x:v>
      </x:c>
      <x:c r="F80" s="40" t="n">
        <x:f>F59*F70</x:f>
        <x:v>204.09381186618666</x:v>
      </x:c>
      <x:c r="G80" s="40" t="n">
        <x:f>G59*G70</x:f>
        <x:v>675.5180959026704</x:v>
      </x:c>
      <x:c r="H80" s="40" t="n">
        <x:f>H59*H70</x:f>
        <x:v>1610.8854241912452</x:v>
      </x:c>
      <x:c r="I80" s="40" t="n">
        <x:f>I59*I70</x:f>
        <x:v>3245.4260717111706</x:v>
      </x:c>
      <x:c r="J80" s="40" t="n">
        <x:f>J59*J70</x:f>
        <x:v>5917.903527515035</x:v>
      </x:c>
      <x:c r="R80" s="44"/>
      <x:c r="S80" s="44"/>
      <x:c r="T80" s="44"/>
      <x:c r="U80" s="44"/>
      <x:c r="V80" s="44"/>
      <x:c r="W80" s="44"/>
      <x:c r="X80" s="44"/>
      <x:c r="Y80" s="44"/>
      <x:c r="Z80" s="44"/>
      <x:c r="AA80" s="44"/>
      <x:c r="AB80" s="44"/>
      <x:c r="AC80" s="44"/>
      <x:c r="AD80" s="44"/>
      <x:c r="AE80" s="44"/>
      <x:c r="AF80" s="44"/>
      <x:c r="AG80" s="44"/>
      <x:c r="AH80" s="44"/>
      <x:c r="AI80" s="44"/>
      <x:c r="AJ80" s="44"/>
      <x:c r="AK80" s="44"/>
      <x:c r="AL80" s="44"/>
      <x:c r="AM80" s="44"/>
      <x:c r="AN80" s="44"/>
      <x:c r="AO80" s="44"/>
      <x:c r="AP80" s="44"/>
      <x:c r="AQ80" s="44"/>
      <x:c r="AR80" s="44"/>
      <x:c r="AS80" s="44"/>
      <x:c r="AT80" s="44"/>
      <x:c r="AU80" s="44"/>
      <x:c r="AV80" s="44"/>
      <x:c r="AW80" s="44"/>
      <x:c r="AX80" s="44"/>
      <x:c r="AY80" s="44"/>
      <x:c r="AZ80" s="44"/>
      <x:c r="BA80" s="44"/>
      <x:c r="BB80" s="44"/>
      <x:c r="BC80" s="44"/>
      <x:c r="BD80" s="44"/>
      <x:c r="BE80" s="44"/>
      <x:c r="BF80" s="44"/>
      <x:c r="BG80" s="44"/>
      <x:c r="BH80" s="44"/>
      <x:c r="BI80" s="44"/>
      <x:c r="BJ80" s="44"/>
      <x:c r="BK80" s="44"/>
      <x:c r="BL80" s="44"/>
      <x:c r="BM80" s="44"/>
      <x:c r="BN80" s="44"/>
      <x:c r="BO80" s="44"/>
      <x:c r="BP80" s="44"/>
      <x:c r="BQ80" s="44"/>
      <x:c r="BR80" s="44"/>
      <x:c r="BS80" s="44"/>
      <x:c r="BT80" s="44"/>
      <x:c r="BU80" s="44"/>
      <x:c r="BV80" s="44"/>
      <x:c r="BW80" s="44"/>
      <x:c r="BX80" s="44"/>
      <x:c r="BY80" s="44"/>
      <x:c r="BZ80" s="44"/>
      <x:c r="CA80" s="44"/>
      <x:c r="CB80" s="44"/>
      <x:c r="CC80" s="44"/>
      <x:c r="CD80" s="44"/>
      <x:c r="CE80" s="44"/>
      <x:c r="CF80" s="44"/>
      <x:c r="CG80" s="44"/>
      <x:c r="CH80" s="44"/>
      <x:c r="CI80" s="44"/>
    </x:row>
    <x:row r="81" ht="15" hidden="0" customHeight="1">
      <x:c r="A81" s="16" t="str">
        <x:v>AI服务与行业解决方案收入</x:v>
      </x:c>
      <x:c r="B81" s="40" t="n">
        <x:f>B60*B71</x:f>
        <x:v>9.675</x:v>
      </x:c>
      <x:c r="C81" s="40" t="n">
        <x:f>C60*C71</x:f>
        <x:v>26.4</x:v>
      </x:c>
      <x:c r="D81" s="40" t="n">
        <x:f>D60*D71</x:f>
        <x:v>54.51999999999999</x:v>
      </x:c>
      <x:c r="E81" s="40" t="n">
        <x:f>E60*E71</x:f>
        <x:v>196.56</x:v>
      </x:c>
      <x:c r="F81" s="40" t="n">
        <x:f>F60*F71</x:f>
        <x:v>210.87333584760714</x:v>
      </x:c>
      <x:c r="G81" s="40" t="n">
        <x:f>G60*G71</x:f>
        <x:v>518.6063796670682</x:v>
      </x:c>
      <x:c r="H81" s="40" t="n">
        <x:f>H60*H71</x:f>
        <x:v>993.1592906776145</x:v>
      </x:c>
      <x:c r="I81" s="40" t="n">
        <x:f>I60*I71</x:f>
        <x:v>1873.227795054881</x:v>
      </x:c>
      <x:c r="J81" s="40" t="n">
        <x:f>J60*J71</x:f>
        <x:v>3375.0435158282685</x:v>
      </x:c>
      <x:c r="R81" s="44"/>
      <x:c r="S81" s="44"/>
      <x:c r="T81" s="44"/>
      <x:c r="U81" s="44"/>
      <x:c r="V81" s="44"/>
      <x:c r="W81" s="44"/>
      <x:c r="X81" s="44"/>
      <x:c r="Y81" s="44"/>
      <x:c r="Z81" s="44"/>
      <x:c r="AA81" s="44"/>
      <x:c r="AB81" s="44"/>
      <x:c r="AC81" s="44"/>
      <x:c r="AD81" s="44"/>
      <x:c r="AE81" s="44"/>
      <x:c r="AF81" s="44"/>
      <x:c r="AG81" s="44"/>
      <x:c r="AH81" s="44"/>
      <x:c r="AI81" s="44"/>
      <x:c r="AJ81" s="44"/>
      <x:c r="AK81" s="44"/>
      <x:c r="AL81" s="44"/>
      <x:c r="AM81" s="44"/>
      <x:c r="AN81" s="44"/>
      <x:c r="AO81" s="44"/>
      <x:c r="AP81" s="44"/>
      <x:c r="AQ81" s="44"/>
      <x:c r="AR81" s="44"/>
      <x:c r="AS81" s="44"/>
      <x:c r="AT81" s="44"/>
      <x:c r="AU81" s="44"/>
      <x:c r="AV81" s="44"/>
      <x:c r="AW81" s="44"/>
      <x:c r="AX81" s="44"/>
      <x:c r="AY81" s="44"/>
      <x:c r="AZ81" s="44"/>
      <x:c r="BA81" s="44"/>
      <x:c r="BB81" s="44"/>
      <x:c r="BC81" s="44"/>
      <x:c r="BD81" s="44"/>
      <x:c r="BE81" s="44"/>
      <x:c r="BF81" s="44"/>
      <x:c r="BG81" s="44"/>
      <x:c r="BH81" s="44"/>
      <x:c r="BI81" s="44"/>
      <x:c r="BJ81" s="44"/>
      <x:c r="BK81" s="44"/>
      <x:c r="BL81" s="44"/>
      <x:c r="BM81" s="44"/>
      <x:c r="BN81" s="44"/>
      <x:c r="BO81" s="44"/>
      <x:c r="BP81" s="44"/>
      <x:c r="BQ81" s="44"/>
      <x:c r="BR81" s="44"/>
      <x:c r="BS81" s="44"/>
      <x:c r="BT81" s="44"/>
      <x:c r="BU81" s="44"/>
      <x:c r="BV81" s="44"/>
      <x:c r="BW81" s="44"/>
      <x:c r="BX81" s="44"/>
      <x:c r="BY81" s="44"/>
      <x:c r="BZ81" s="44"/>
      <x:c r="CA81" s="44"/>
      <x:c r="CB81" s="44"/>
      <x:c r="CC81" s="44"/>
      <x:c r="CD81" s="44"/>
      <x:c r="CE81" s="44"/>
      <x:c r="CF81" s="44"/>
      <x:c r="CG81" s="44"/>
      <x:c r="CH81" s="44"/>
      <x:c r="CI81" s="44"/>
    </x:row>
    <x:row r="82" ht="15" hidden="0" customHeight="1">
      <x:c r="A82" s="16" t="str">
        <x:v>嵌入式AI增量收入</x:v>
      </x:c>
      <x:c r="B82" s="40" t="n">
        <x:f>B61*B72</x:f>
        <x:v>3.87</x:v>
      </x:c>
      <x:c r="C82" s="40" t="n">
        <x:f>C61*C72</x:f>
        <x:v>8.8</x:v>
      </x:c>
      <x:c r="D82" s="40" t="n">
        <x:f>D61*D72</x:f>
        <x:v>27.259999999999994</x:v>
      </x:c>
      <x:c r="E82" s="40" t="n">
        <x:f>E61*E72</x:f>
        <x:v>108.864</x:v>
      </x:c>
      <x:c r="F82" s="40" t="n">
        <x:f>F61*F72</x:f>
        <x:v>361.76947343945636</x:v>
      </x:c>
      <x:c r="G82" s="40" t="n">
        <x:f>G61*G72</x:f>
        <x:v>851.5468494503315</x:v>
      </x:c>
      <x:c r="H82" s="40" t="n">
        <x:f>H61*H72</x:f>
        <x:v>1587.5211609347473</x:v>
      </x:c>
      <x:c r="I82" s="40" t="n">
        <x:f>I61*I72</x:f>
        <x:v>3055.5113031566984</x:v>
      </x:c>
      <x:c r="J82" s="40" t="n">
        <x:f>J61*J72</x:f>
        <x:v>5383.75491890682</x:v>
      </x:c>
      <x:c r="R82" s="44"/>
      <x:c r="S82" s="44"/>
      <x:c r="T82" s="44"/>
      <x:c r="U82" s="44"/>
      <x:c r="V82" s="44"/>
      <x:c r="W82" s="44"/>
      <x:c r="X82" s="44"/>
      <x:c r="Y82" s="44"/>
      <x:c r="Z82" s="44"/>
      <x:c r="AA82" s="44"/>
      <x:c r="AB82" s="44"/>
      <x:c r="AC82" s="44"/>
      <x:c r="AD82" s="44"/>
      <x:c r="AE82" s="44"/>
      <x:c r="AF82" s="44"/>
      <x:c r="AG82" s="44"/>
      <x:c r="AH82" s="44"/>
      <x:c r="AI82" s="44"/>
      <x:c r="AJ82" s="44"/>
      <x:c r="AK82" s="44"/>
      <x:c r="AL82" s="44"/>
      <x:c r="AM82" s="44"/>
      <x:c r="AN82" s="44"/>
      <x:c r="AO82" s="44"/>
      <x:c r="AP82" s="44"/>
      <x:c r="AQ82" s="44"/>
      <x:c r="AR82" s="44"/>
      <x:c r="AS82" s="44"/>
      <x:c r="AT82" s="44"/>
      <x:c r="AU82" s="44"/>
      <x:c r="AV82" s="44"/>
      <x:c r="AW82" s="44"/>
      <x:c r="AX82" s="44"/>
      <x:c r="AY82" s="44"/>
      <x:c r="AZ82" s="44"/>
      <x:c r="BA82" s="44"/>
      <x:c r="BB82" s="44"/>
      <x:c r="BC82" s="44"/>
      <x:c r="BD82" s="44"/>
      <x:c r="BE82" s="44"/>
      <x:c r="BF82" s="44"/>
      <x:c r="BG82" s="44"/>
      <x:c r="BH82" s="44"/>
      <x:c r="BI82" s="44"/>
      <x:c r="BJ82" s="44"/>
      <x:c r="BK82" s="44"/>
      <x:c r="BL82" s="44"/>
      <x:c r="BM82" s="44"/>
      <x:c r="BN82" s="44"/>
      <x:c r="BO82" s="44"/>
      <x:c r="BP82" s="44"/>
      <x:c r="BQ82" s="44"/>
      <x:c r="BR82" s="44"/>
      <x:c r="BS82" s="44"/>
      <x:c r="BT82" s="44"/>
      <x:c r="BU82" s="44"/>
      <x:c r="BV82" s="44"/>
      <x:c r="BW82" s="44"/>
      <x:c r="BX82" s="44"/>
      <x:c r="BY82" s="44"/>
      <x:c r="BZ82" s="44"/>
      <x:c r="CA82" s="44"/>
      <x:c r="CB82" s="44"/>
      <x:c r="CC82" s="44"/>
      <x:c r="CD82" s="44"/>
      <x:c r="CE82" s="44"/>
      <x:c r="CF82" s="44"/>
      <x:c r="CG82" s="44"/>
      <x:c r="CH82" s="44"/>
      <x:c r="CI82" s="44"/>
    </x:row>
    <x:row r="83" ht="15" hidden="0" customHeight="1">
      <x:c r="A83" s="123" t="str">
        <x:v>AI产业贡献毛利合计</x:v>
      </x:c>
      <x:c r="B83" s="124" t="n">
        <x:f>SUM(B77:B82)</x:f>
        <x:v>29.025000000000002</x:v>
      </x:c>
      <x:c r="C83" s="124" t="n">
        <x:f>SUM(C77:C82)</x:f>
        <x:v>76.99999999999999</x:v>
      </x:c>
      <x:c r="D83" s="124" t="n">
        <x:f>SUM(D77:D82)</x:f>
        <x:v>231.70999999999995</x:v>
      </x:c>
      <x:c r="E83" s="124" t="n">
        <x:f>SUM(E77:E82)</x:f>
        <x:v>864.864</x:v>
      </x:c>
      <x:c r="F83" s="124" t="n">
        <x:f>SUM(F77:F82)</x:f>
        <x:v>1559.383610007035</x:v>
      </x:c>
      <x:c r="G83" s="124" t="n">
        <x:f>SUM(G77:G82)</x:f>
        <x:v>4091.7735587818106</x:v>
      </x:c>
      <x:c r="H83" s="124" t="n">
        <x:f>SUM(H77:H82)</x:f>
        <x:v>8604.884862962199</x:v>
      </x:c>
      <x:c r="I83" s="124" t="n">
        <x:f>SUM(I77:I82)</x:f>
        <x:v>16361.947436779674</x:v>
      </x:c>
      <x:c r="J83" s="124" t="n">
        <x:f>SUM(J77:J82)</x:f>
        <x:v>28453.31393061533</x:v>
      </x:c>
      <x:c r="R83" s="44"/>
      <x:c r="S83" s="44"/>
      <x:c r="T83" s="44"/>
      <x:c r="U83" s="44"/>
      <x:c r="V83" s="44"/>
      <x:c r="W83" s="44"/>
      <x:c r="X83" s="44"/>
      <x:c r="Y83" s="44"/>
      <x:c r="Z83" s="44"/>
      <x:c r="AA83" s="44"/>
      <x:c r="AB83" s="44"/>
      <x:c r="AC83" s="44"/>
      <x:c r="AD83" s="44"/>
      <x:c r="AE83" s="44"/>
      <x:c r="AF83" s="44"/>
      <x:c r="AG83" s="44"/>
      <x:c r="AH83" s="44"/>
      <x:c r="AI83" s="44"/>
      <x:c r="AJ83" s="44"/>
      <x:c r="AK83" s="44"/>
      <x:c r="AL83" s="44"/>
      <x:c r="AM83" s="44"/>
      <x:c r="AN83" s="44"/>
      <x:c r="AO83" s="44"/>
      <x:c r="AP83" s="44"/>
      <x:c r="AQ83" s="44"/>
      <x:c r="AR83" s="44"/>
      <x:c r="AS83" s="44"/>
      <x:c r="AT83" s="44"/>
      <x:c r="AU83" s="44"/>
      <x:c r="AV83" s="44"/>
      <x:c r="AW83" s="44"/>
      <x:c r="AX83" s="44"/>
      <x:c r="AY83" s="44"/>
      <x:c r="AZ83" s="44"/>
      <x:c r="BA83" s="44"/>
      <x:c r="BB83" s="44"/>
      <x:c r="BC83" s="44"/>
      <x:c r="BD83" s="44"/>
      <x:c r="BE83" s="44"/>
      <x:c r="BF83" s="44"/>
      <x:c r="BG83" s="44"/>
      <x:c r="BH83" s="44"/>
      <x:c r="BI83" s="44"/>
      <x:c r="BJ83" s="44"/>
      <x:c r="BK83" s="44"/>
      <x:c r="BL83" s="44"/>
      <x:c r="BM83" s="44"/>
      <x:c r="BN83" s="44"/>
      <x:c r="BO83" s="44"/>
      <x:c r="BP83" s="44"/>
      <x:c r="BQ83" s="44"/>
      <x:c r="BR83" s="44"/>
      <x:c r="BS83" s="44"/>
      <x:c r="BT83" s="44"/>
      <x:c r="BU83" s="44"/>
      <x:c r="BV83" s="44"/>
      <x:c r="BW83" s="44"/>
      <x:c r="BX83" s="44"/>
      <x:c r="BY83" s="44"/>
      <x:c r="BZ83" s="44"/>
      <x:c r="CA83" s="44"/>
      <x:c r="CB83" s="44"/>
      <x:c r="CC83" s="44"/>
      <x:c r="CD83" s="44"/>
      <x:c r="CE83" s="44"/>
      <x:c r="CF83" s="44"/>
      <x:c r="CG83" s="44"/>
      <x:c r="CH83" s="44"/>
      <x:c r="CI83" s="44"/>
    </x:row>
    <x:row r="84">
      <x:c r="R84" s="44"/>
      <x:c r="S84" s="44"/>
      <x:c r="T84" s="44"/>
      <x:c r="U84" s="44"/>
      <x:c r="V84" s="44"/>
      <x:c r="W84" s="44"/>
      <x:c r="X84" s="44"/>
      <x:c r="Y84" s="44"/>
      <x:c r="Z84" s="44"/>
      <x:c r="AA84" s="44"/>
      <x:c r="AB84" s="44"/>
      <x:c r="AC84" s="44"/>
      <x:c r="AD84" s="44"/>
      <x:c r="AE84" s="44"/>
      <x:c r="AF84" s="44"/>
      <x:c r="AG84" s="44"/>
      <x:c r="AH84" s="44"/>
      <x:c r="AI84" s="44"/>
      <x:c r="AJ84" s="44"/>
      <x:c r="AK84" s="44"/>
      <x:c r="AL84" s="44"/>
      <x:c r="AM84" s="44"/>
      <x:c r="AN84" s="44"/>
      <x:c r="AO84" s="44"/>
      <x:c r="AP84" s="44"/>
      <x:c r="AQ84" s="44"/>
      <x:c r="AR84" s="44"/>
      <x:c r="AS84" s="44"/>
      <x:c r="AT84" s="44"/>
      <x:c r="AU84" s="44"/>
      <x:c r="AV84" s="44"/>
      <x:c r="AW84" s="44"/>
      <x:c r="AX84" s="44"/>
      <x:c r="AY84" s="44"/>
      <x:c r="AZ84" s="44"/>
      <x:c r="BA84" s="44"/>
      <x:c r="BB84" s="44"/>
      <x:c r="BC84" s="44"/>
      <x:c r="BD84" s="44"/>
      <x:c r="BE84" s="44"/>
      <x:c r="BF84" s="44"/>
      <x:c r="BG84" s="44"/>
      <x:c r="BH84" s="44"/>
      <x:c r="BI84" s="44"/>
      <x:c r="BJ84" s="44"/>
      <x:c r="BK84" s="44"/>
      <x:c r="BL84" s="44"/>
      <x:c r="BM84" s="44"/>
      <x:c r="BN84" s="44"/>
      <x:c r="BO84" s="44"/>
      <x:c r="BP84" s="44"/>
      <x:c r="BQ84" s="44"/>
      <x:c r="BR84" s="44"/>
      <x:c r="BS84" s="44"/>
      <x:c r="BT84" s="44"/>
      <x:c r="BU84" s="44"/>
      <x:c r="BV84" s="44"/>
      <x:c r="BW84" s="44"/>
      <x:c r="BX84" s="44"/>
      <x:c r="BY84" s="44"/>
      <x:c r="BZ84" s="44"/>
      <x:c r="CA84" s="44"/>
      <x:c r="CB84" s="44"/>
      <x:c r="CC84" s="44"/>
      <x:c r="CD84" s="44"/>
      <x:c r="CE84" s="44"/>
      <x:c r="CF84" s="44"/>
      <x:c r="CG84" s="44"/>
      <x:c r="CH84" s="44"/>
      <x:c r="CI84" s="44"/>
    </x:row>
  </x:sheetData>
  <x:mergeCells>
    <x:mergeCell ref="A1:L1"/>
    <x:mergeCell ref="A2:L2"/>
    <x:mergeCell ref="A21:J21"/>
    <x:mergeCell ref="A54:J54"/>
    <x:mergeCell ref="A65:J65"/>
    <x:mergeCell ref="A75:J75"/>
  </x:mergeCells>
  <x:pageMargins left="0.7" right="0.7" top="0.75" bottom="0.75" header="0.3" footer="0.3"/>
  <x:drawing xmlns:r="http://schemas.openxmlformats.org/officeDocument/2006/relationships" r:id="Rf525eccd264b4fe5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2" max="12" width="0.5" hidden="0" customWidth="1"/>
    <x:col min="13" max="13" width="0.5" hidden="0" customWidth="1"/>
    <x:col min="14" max="14" width="0.5" hidden="0" customWidth="1"/>
    <x:col min="15" max="15" width="0.5" hidden="0" customWidth="1"/>
    <x:col min="16" max="16" width="0.5" hidden="0" customWidth="1"/>
    <x:col min="1" max="1" width="34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21.600000381469727" hidden="0" customHeight="1">
      <x:c r="A1" s="3" t="str">
        <x:v>资本回收｜应用毛利覆盖AI资产经济折旧</x:v>
      </x:c>
      <x:c r="B1" s="3" t="str">
        <x:v>资本回收｜应用毛利覆盖AI资产经济折旧</x:v>
      </x:c>
      <x:c r="C1" s="3" t="str">
        <x:v>资本回收｜应用毛利覆盖AI资产经济折旧</x:v>
      </x:c>
      <x:c r="D1" s="3" t="str">
        <x:v>资本回收｜应用毛利覆盖AI资产经济折旧</x:v>
      </x:c>
      <x:c r="E1" s="3" t="str">
        <x:v>资本回收｜应用毛利覆盖AI资产经济折旧</x:v>
      </x:c>
      <x:c r="F1" s="3" t="str">
        <x:v>资本回收｜应用毛利覆盖AI资产经济折旧</x:v>
      </x:c>
      <x:c r="G1" s="3" t="str">
        <x:v>资本回收｜应用毛利覆盖AI资产经济折旧</x:v>
      </x:c>
      <x:c r="H1" s="3" t="str">
        <x:v>资本回收｜应用毛利覆盖AI资产经济折旧</x:v>
      </x:c>
      <x:c r="I1" s="3" t="str">
        <x:v>资本回收｜应用毛利覆盖AI资产经济折旧</x:v>
      </x:c>
      <x:c r="J1" s="3" t="str">
        <x:v>资本回收｜应用毛利覆盖AI资产经济折旧</x:v>
      </x:c>
      <x:c r="K1" s="92"/>
      <x:c r="L1" s="92"/>
      <x:c r="M1" s="92"/>
      <x:c r="N1" s="92"/>
      <x:c r="O1" s="92"/>
      <x:c r="P1" s="92"/>
    </x:row>
    <x:row r="2" ht="15" hidden="0" customHeight="1">
      <x:c r="A2" s="7" t="str">
        <x:v>经济折旧按年度投资批次、资产结构与经济寿命计算，并纳入2018—2021年形成、到2022年初仍在役的AI资产存量；当前采用当年新增资产全年折旧近似。</x:v>
      </x:c>
      <x:c r="B2" s="7" t="str">
        <x:v>经济折旧按年度投资批次、资产结构与经济寿命计算，并纳入2018—2021年形成、到2022年初仍在役的AI资产存量；当前采用当年新增资产全年折旧近似。</x:v>
      </x:c>
      <x:c r="C2" s="7" t="str">
        <x:v>经济折旧按年度投资批次、资产结构与经济寿命计算，并纳入2018—2021年形成、到2022年初仍在役的AI资产存量；当前采用当年新增资产全年折旧近似。</x:v>
      </x:c>
      <x:c r="D2" s="7" t="str">
        <x:v>经济折旧按年度投资批次、资产结构与经济寿命计算，并纳入2018—2021年形成、到2022年初仍在役的AI资产存量；当前采用当年新增资产全年折旧近似。</x:v>
      </x:c>
      <x:c r="E2" s="7" t="str">
        <x:v>经济折旧按年度投资批次、资产结构与经济寿命计算，并纳入2018—2021年形成、到2022年初仍在役的AI资产存量；当前采用当年新增资产全年折旧近似。</x:v>
      </x:c>
      <x:c r="F2" s="7" t="str">
        <x:v>经济折旧按年度投资批次、资产结构与经济寿命计算，并纳入2018—2021年形成、到2022年初仍在役的AI资产存量；当前采用当年新增资产全年折旧近似。</x:v>
      </x:c>
      <x:c r="G2" s="7" t="str">
        <x:v>经济折旧按年度投资批次、资产结构与经济寿命计算，并纳入2018—2021年形成、到2022年初仍在役的AI资产存量；当前采用当年新增资产全年折旧近似。</x:v>
      </x:c>
      <x:c r="H2" s="7" t="str">
        <x:v>经济折旧按年度投资批次、资产结构与经济寿命计算，并纳入2018—2021年形成、到2022年初仍在役的AI资产存量；当前采用当年新增资产全年折旧近似。</x:v>
      </x:c>
      <x:c r="I2" s="7" t="str">
        <x:v>经济折旧按年度投资批次、资产结构与经济寿命计算，并纳入2018—2021年形成、到2022年初仍在役的AI资产存量；当前采用当年新增资产全年折旧近似。</x:v>
      </x:c>
      <x:c r="J2" s="7" t="str">
        <x:v>经济折旧按年度投资批次、资产结构与经济寿命计算，并纳入2018—2021年形成、到2022年初仍在役的AI资产存量；当前采用当年新增资产全年折旧近似。</x:v>
      </x:c>
      <x:c r="K2" s="92"/>
      <x:c r="L2" s="92"/>
      <x:c r="M2" s="92"/>
      <x:c r="N2" s="92"/>
      <x:c r="O2" s="92"/>
      <x:c r="P2" s="92"/>
    </x:row>
    <x:row r="3" ht="15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  <x:c r="K3" s="92"/>
      <x:c r="L3" s="92"/>
      <x:c r="M3" s="92"/>
      <x:c r="N3" s="92"/>
      <x:c r="O3" s="92"/>
      <x:c r="P3" s="92"/>
    </x:row>
    <x:row r="4" ht="15" hidden="0" customHeight="1">
      <x:c r="A4" s="12" t="str">
        <x:v>指标</x:v>
      </x:c>
      <x:c r="B4" s="12" t="str">
        <x:v>2022A</x:v>
      </x:c>
      <x:c r="C4" s="12" t="str">
        <x:v>2023A</x:v>
      </x:c>
      <x:c r="D4" s="12" t="str">
        <x:v>2024A</x:v>
      </x:c>
      <x:c r="E4" s="12" t="str">
        <x:v>2025A</x:v>
      </x:c>
      <x:c r="F4" s="12" t="str">
        <x:v>2026E</x:v>
      </x:c>
      <x:c r="G4" s="12" t="str">
        <x:v>2027E</x:v>
      </x:c>
      <x:c r="H4" s="12" t="str">
        <x:v>2028E</x:v>
      </x:c>
      <x:c r="I4" s="12" t="str">
        <x:v>2029E</x:v>
      </x:c>
      <x:c r="J4" s="12" t="str">
        <x:v>2030E</x:v>
      </x:c>
      <x:c r="K4" s="92"/>
      <x:c r="L4" s="95" t="str">
        <x:v>年份</x:v>
      </x:c>
      <x:c r="M4" s="95" t="str">
        <x:v>净AI基建投资</x:v>
      </x:c>
      <x:c r="N4" s="95" t="str">
        <x:v>AI应用终端收入</x:v>
      </x:c>
      <x:c r="O4" s="95" t="str">
        <x:v>AI应用毛利</x:v>
      </x:c>
      <x:c r="P4" s="95" t="str">
        <x:v>AI资产经济折旧</x:v>
      </x:c>
    </x:row>
    <x:row r="5" ht="15" hidden="0" customHeight="1">
      <x:c r="A5" s="16" t="str">
        <x:v>净AI基建投资</x:v>
      </x:c>
      <x:c r="B5" s="40" t="n">
        <x:f>'AI基建投资'!B10</x:f>
        <x:v>950</x:v>
      </x:c>
      <x:c r="C5" s="40" t="n">
        <x:f>'AI基建投资'!C10</x:f>
        <x:v>1310</x:v>
      </x:c>
      <x:c r="D5" s="40" t="n">
        <x:f>'AI基建投资'!D10</x:f>
        <x:v>2200</x:v>
      </x:c>
      <x:c r="E5" s="40" t="n">
        <x:f>'AI基建投资'!E10</x:f>
        <x:v>5050</x:v>
      </x:c>
      <x:c r="F5" s="40" t="n">
        <x:f>'AI基建投资'!F10</x:f>
        <x:v>9109.897887323943</x:v>
      </x:c>
      <x:c r="G5" s="40" t="n">
        <x:f>'AI基建投资'!G10</x:f>
        <x:v>15215.266498028674</x:v>
      </x:c>
      <x:c r="H5" s="40" t="n">
        <x:f>'AI基建投资'!H10</x:f>
        <x:v>19985.094235372104</x:v>
      </x:c>
      <x:c r="I5" s="40" t="n">
        <x:f>'AI基建投资'!I10</x:f>
        <x:v>24375.11372397658</x:v>
      </x:c>
      <x:c r="J5" s="40" t="n">
        <x:f>'AI基建投资'!J10</x:f>
        <x:v>28052.214760179733</x:v>
      </x:c>
      <x:c r="K5" s="92"/>
      <x:c r="L5" s="95" t="n">
        <x:v>2022</x:v>
      </x:c>
      <x:c r="M5" s="95" t="n">
        <x:f>B5</x:f>
        <x:v>950</x:v>
      </x:c>
      <x:c r="N5" s="95" t="n">
        <x:f>B6</x:f>
        <x:v>67.5</x:v>
      </x:c>
      <x:c r="O5" s="95" t="n">
        <x:f>B7</x:f>
        <x:v>29.025000000000002</x:v>
      </x:c>
      <x:c r="P5" s="95" t="n">
        <x:f>B9</x:f>
        <x:v>369.33333333333337</x:v>
      </x:c>
    </x:row>
    <x:row r="6" ht="15" hidden="0" customHeight="1">
      <x:c r="A6" s="16" t="str">
        <x:v>AI应用终端收入</x:v>
      </x:c>
      <x:c r="B6" s="40" t="n">
        <x:f>'AI应用回报'!B13</x:f>
        <x:v>67.5</x:v>
      </x:c>
      <x:c r="C6" s="40" t="n">
        <x:f>'AI应用回报'!C13</x:f>
        <x:v>175</x:v>
      </x:c>
      <x:c r="D6" s="40" t="n">
        <x:f>'AI应用回报'!D13</x:f>
        <x:v>492.99999999999994</x:v>
      </x:c>
      <x:c r="E6" s="40" t="n">
        <x:f>'AI应用回报'!E13</x:f>
        <x:v>1801.8</x:v>
      </x:c>
      <x:c r="F6" s="40" t="n">
        <x:f>'AI应用回报'!F13</x:f>
        <x:v>3118.76722001407</x:v>
      </x:c>
      <x:c r="G6" s="40" t="n">
        <x:f>'AI应用回报'!G13</x:f>
        <x:v>7590.055007752871</x:v>
      </x:c>
      <x:c r="H6" s="40" t="n">
        <x:f>'AI应用回报'!H13</x:f>
        <x:v>14974.93437310543</x:v>
      </x:c>
      <x:c r="I6" s="40" t="n">
        <x:f>'AI应用回报'!I13</x:f>
        <x:v>27041.117384703593</x:v>
      </x:c>
      <x:c r="J6" s="40" t="n">
        <x:f>'AI应用回报'!J13</x:f>
        <x:v>45089.74010130615</x:v>
      </x:c>
      <x:c r="K6" s="92"/>
      <x:c r="L6" s="95" t="n">
        <x:v>2023</x:v>
      </x:c>
      <x:c r="M6" s="95" t="n">
        <x:f>C5</x:f>
        <x:v>1310</x:v>
      </x:c>
      <x:c r="N6" s="95" t="n">
        <x:f>C6</x:f>
        <x:v>175</x:v>
      </x:c>
      <x:c r="O6" s="95" t="n">
        <x:f>C7</x:f>
        <x:v>76.99999999999999</x:v>
      </x:c>
      <x:c r="P6" s="95" t="n">
        <x:f>C9</x:f>
        <x:v>531.4666666666667</x:v>
      </x:c>
    </x:row>
    <x:row r="7" ht="15" hidden="0" customHeight="1">
      <x:c r="A7" s="16" t="str">
        <x:v>AI应用毛利</x:v>
      </x:c>
      <x:c r="B7" s="40" t="n">
        <x:f>'AI应用回报'!B15</x:f>
        <x:v>29.025000000000002</x:v>
      </x:c>
      <x:c r="C7" s="40" t="n">
        <x:f>'AI应用回报'!C15</x:f>
        <x:v>76.99999999999999</x:v>
      </x:c>
      <x:c r="D7" s="40" t="n">
        <x:f>'AI应用回报'!D15</x:f>
        <x:v>231.70999999999995</x:v>
      </x:c>
      <x:c r="E7" s="40" t="n">
        <x:f>'AI应用回报'!E15</x:f>
        <x:v>864.864</x:v>
      </x:c>
      <x:c r="F7" s="40" t="n">
        <x:f>'AI应用回报'!F15</x:f>
        <x:v>1559.383610007035</x:v>
      </x:c>
      <x:c r="G7" s="40" t="n">
        <x:f>'AI应用回报'!G15</x:f>
        <x:v>4091.7735587818106</x:v>
      </x:c>
      <x:c r="H7" s="40" t="n">
        <x:f>'AI应用回报'!H15</x:f>
        <x:v>8604.884862962199</x:v>
      </x:c>
      <x:c r="I7" s="40" t="n">
        <x:f>'AI应用回报'!I15</x:f>
        <x:v>16361.947436779674</x:v>
      </x:c>
      <x:c r="J7" s="40" t="n">
        <x:f>'AI应用回报'!J15</x:f>
        <x:v>28453.31393061533</x:v>
      </x:c>
      <x:c r="K7" s="92"/>
      <x:c r="L7" s="95" t="n">
        <x:v>2024</x:v>
      </x:c>
      <x:c r="M7" s="95" t="n">
        <x:f>D5</x:f>
        <x:v>2200</x:v>
      </x:c>
      <x:c r="N7" s="95" t="n">
        <x:f>D6</x:f>
        <x:v>492.99999999999994</x:v>
      </x:c>
      <x:c r="O7" s="95" t="n">
        <x:f>D7</x:f>
        <x:v>231.70999999999995</x:v>
      </x:c>
      <x:c r="P7" s="95" t="n">
        <x:f>D9</x:f>
        <x:v>809.1333333333334</x:v>
      </x:c>
    </x:row>
    <x:row r="8" ht="15" hidden="0" customHeight="1">
      <x:c r="A8" s="16" t="str">
        <x:v>企业内部效率净值</x:v>
      </x:c>
      <x:c r="B8" s="40" t="n">
        <x:f>'AI应用回报'!B16</x:f>
        <x:v>14</x:v>
      </x:c>
      <x:c r="C8" s="40" t="n">
        <x:f>'AI应用回报'!C16</x:f>
        <x:v>42</x:v>
      </x:c>
      <x:c r="D8" s="40" t="n">
        <x:f>'AI应用回报'!D16</x:f>
        <x:v>140</x:v>
      </x:c>
      <x:c r="E8" s="40" t="n">
        <x:f>'AI应用回报'!E16</x:f>
        <x:v>360</x:v>
      </x:c>
      <x:c r="F8" s="40" t="n">
        <x:f>'AI应用回报'!F16</x:f>
        <x:v>834.9720000000002</x:v>
      </x:c>
      <x:c r="G8" s="40" t="n">
        <x:f>'AI应用回报'!G16</x:f>
        <x:v>1421.0703468</x:v>
      </x:c>
      <x:c r="H8" s="40" t="n">
        <x:f>'AI应用回报'!H16</x:f>
        <x:v>2137.6057439999995</x:v>
      </x:c>
      <x:c r="I8" s="40" t="n">
        <x:f>'AI应用回报'!I16</x:f>
        <x:v>2952.0378655500003</x:v>
      </x:c>
      <x:c r="J8" s="40" t="n">
        <x:f>'AI应用回报'!J16</x:f>
        <x:v>3840.2877995999997</x:v>
      </x:c>
      <x:c r="K8" s="92"/>
      <x:c r="L8" s="95" t="n">
        <x:v>2025</x:v>
      </x:c>
      <x:c r="M8" s="95" t="n">
        <x:f>E5</x:f>
        <x:v>5050</x:v>
      </x:c>
      <x:c r="N8" s="95" t="n">
        <x:f>E6</x:f>
        <x:v>1801.8</x:v>
      </x:c>
      <x:c r="O8" s="95" t="n">
        <x:f>E7</x:f>
        <x:v>864.864</x:v>
      </x:c>
      <x:c r="P8" s="95" t="n">
        <x:f>E9</x:f>
        <x:v>1480.8000000000002</x:v>
      </x:c>
    </x:row>
    <x:row r="9" ht="15" hidden="0" customHeight="1">
      <x:c r="A9" s="16" t="str">
        <x:v>AI资产经济折旧</x:v>
      </x:c>
      <x:c r="B9" s="40" t="n">
        <x:f>'模型参数'!$G$5*('模型参数'!$B$20*(1-'模型参数'!$B$21)*IF((2022-'模型参数'!$F$5)&lt;'模型参数'!$B$19,MIN('模型参数'!$B$19-(2022-'模型参数'!$F$5),1)/'模型参数'!$B$19,0)+'模型参数'!$B$22*IF((2022-'模型参数'!$F$5)&lt;'模型参数'!$B$23,MIN('模型参数'!$B$23-(2022-'模型参数'!$F$5),1)/'模型参数'!$B$23,0))+'模型参数'!$G$6*('模型参数'!$B$20*(1-'模型参数'!$B$21)*IF((2022-'模型参数'!$F$6)&lt;'模型参数'!$B$19,MIN('模型参数'!$B$19-(2022-'模型参数'!$F$6),1)/'模型参数'!$B$19,0)+'模型参数'!$B$22*IF((2022-'模型参数'!$F$6)&lt;'模型参数'!$B$23,MIN('模型参数'!$B$23-(2022-'模型参数'!$F$6),1)/'模型参数'!$B$23,0))+'模型参数'!$G$7*('模型参数'!$B$20*(1-'模型参数'!$B$21)*IF((2022-'模型参数'!$F$7)&lt;'模型参数'!$B$19,MIN('模型参数'!$B$19-(2022-'模型参数'!$F$7),1)/'模型参数'!$B$19,0)+'模型参数'!$B$22*IF((2022-'模型参数'!$F$7)&lt;'模型参数'!$B$23,MIN('模型参数'!$B$23-(2022-'模型参数'!$F$7),1)/'模型参数'!$B$23,0))+'模型参数'!$G$8*('模型参数'!$B$20*(1-'模型参数'!$B$21)*IF((2022-'模型参数'!$F$8)&lt;'模型参数'!$B$19,MIN('模型参数'!$B$19-(2022-'模型参数'!$F$8),1)/'模型参数'!$B$19,0)+'模型参数'!$B$22*IF((2022-'模型参数'!$F$8)&lt;'模型参数'!$B$23,MIN('模型参数'!$B$23-(2022-'模型参数'!$F$8),1)/'模型参数'!$B$23,0))+'AI基建投资'!B$10*('模型参数'!$B$20*(1-'模型参数'!$B$21)*IF(0&lt;'模型参数'!$B$19,MIN('模型参数'!$B$19-0,1)/'模型参数'!$B$19,0)+'模型参数'!$B$22*IF(0&lt;'模型参数'!$B$23,MIN('模型参数'!$B$23-0,1)/'模型参数'!$B$23,0))</x:f>
        <x:v>369.33333333333337</x:v>
      </x:c>
      <x:c r="C9" s="40" t="n">
        <x:f>'模型参数'!$G$5*('模型参数'!$B$20*(1-'模型参数'!$B$21)*IF((2023-'模型参数'!$F$5)&lt;'模型参数'!$B$19,MIN('模型参数'!$B$19-(2023-'模型参数'!$F$5),1)/'模型参数'!$B$19,0)+'模型参数'!$B$22*IF((2023-'模型参数'!$F$5)&lt;'模型参数'!$B$23,MIN('模型参数'!$B$23-(2023-'模型参数'!$F$5),1)/'模型参数'!$B$23,0))+'模型参数'!$G$6*('模型参数'!$B$20*(1-'模型参数'!$B$21)*IF((2023-'模型参数'!$F$6)&lt;'模型参数'!$B$19,MIN('模型参数'!$B$19-(2023-'模型参数'!$F$6),1)/'模型参数'!$B$19,0)+'模型参数'!$B$22*IF((2023-'模型参数'!$F$6)&lt;'模型参数'!$B$23,MIN('模型参数'!$B$23-(2023-'模型参数'!$F$6),1)/'模型参数'!$B$23,0))+'模型参数'!$G$7*('模型参数'!$B$20*(1-'模型参数'!$B$21)*IF((2023-'模型参数'!$F$7)&lt;'模型参数'!$B$19,MIN('模型参数'!$B$19-(2023-'模型参数'!$F$7),1)/'模型参数'!$B$19,0)+'模型参数'!$B$22*IF((2023-'模型参数'!$F$7)&lt;'模型参数'!$B$23,MIN('模型参数'!$B$23-(2023-'模型参数'!$F$7),1)/'模型参数'!$B$23,0))+'模型参数'!$G$8*('模型参数'!$B$20*(1-'模型参数'!$B$21)*IF((2023-'模型参数'!$F$8)&lt;'模型参数'!$B$19,MIN('模型参数'!$B$19-(2023-'模型参数'!$F$8),1)/'模型参数'!$B$19,0)+'模型参数'!$B$22*IF((2023-'模型参数'!$F$8)&lt;'模型参数'!$B$23,MIN('模型参数'!$B$23-(2023-'模型参数'!$F$8),1)/'模型参数'!$B$23,0))+'AI基建投资'!B$10*('模型参数'!$B$20*(1-'模型参数'!$B$21)*IF(1&lt;'模型参数'!$B$19,MIN('模型参数'!$B$19-1,1)/'模型参数'!$B$19,0)+'模型参数'!$B$22*IF(1&lt;'模型参数'!$B$23,MIN('模型参数'!$B$23-1,1)/'模型参数'!$B$23,0))+'AI基建投资'!C$10*('模型参数'!$B$20*(1-'模型参数'!$B$21)*IF(0&lt;'模型参数'!$B$19,MIN('模型参数'!$B$19-0,1)/'模型参数'!$B$19,0)+'模型参数'!$B$22*IF(0&lt;'模型参数'!$B$23,MIN('模型参数'!$B$23-0,1)/'模型参数'!$B$23,0))</x:f>
        <x:v>531.4666666666667</x:v>
      </x:c>
      <x:c r="D9" s="40" t="n">
        <x:f>'模型参数'!$G$5*('模型参数'!$B$20*(1-'模型参数'!$B$21)*IF((2024-'模型参数'!$F$5)&lt;'模型参数'!$B$19,MIN('模型参数'!$B$19-(2024-'模型参数'!$F$5),1)/'模型参数'!$B$19,0)+'模型参数'!$B$22*IF((2024-'模型参数'!$F$5)&lt;'模型参数'!$B$23,MIN('模型参数'!$B$23-(2024-'模型参数'!$F$5),1)/'模型参数'!$B$23,0))+'模型参数'!$G$6*('模型参数'!$B$20*(1-'模型参数'!$B$21)*IF((2024-'模型参数'!$F$6)&lt;'模型参数'!$B$19,MIN('模型参数'!$B$19-(2024-'模型参数'!$F$6),1)/'模型参数'!$B$19,0)+'模型参数'!$B$22*IF((2024-'模型参数'!$F$6)&lt;'模型参数'!$B$23,MIN('模型参数'!$B$23-(2024-'模型参数'!$F$6),1)/'模型参数'!$B$23,0))+'模型参数'!$G$7*('模型参数'!$B$20*(1-'模型参数'!$B$21)*IF((2024-'模型参数'!$F$7)&lt;'模型参数'!$B$19,MIN('模型参数'!$B$19-(2024-'模型参数'!$F$7),1)/'模型参数'!$B$19,0)+'模型参数'!$B$22*IF((2024-'模型参数'!$F$7)&lt;'模型参数'!$B$23,MIN('模型参数'!$B$23-(2024-'模型参数'!$F$7),1)/'模型参数'!$B$23,0))+'模型参数'!$G$8*('模型参数'!$B$20*(1-'模型参数'!$B$21)*IF((2024-'模型参数'!$F$8)&lt;'模型参数'!$B$19,MIN('模型参数'!$B$19-(2024-'模型参数'!$F$8),1)/'模型参数'!$B$19,0)+'模型参数'!$B$22*IF((2024-'模型参数'!$F$8)&lt;'模型参数'!$B$23,MIN('模型参数'!$B$23-(2024-'模型参数'!$F$8),1)/'模型参数'!$B$23,0))+'AI基建投资'!B$10*('模型参数'!$B$20*(1-'模型参数'!$B$21)*IF(2&lt;'模型参数'!$B$19,MIN('模型参数'!$B$19-2,1)/'模型参数'!$B$19,0)+'模型参数'!$B$22*IF(2&lt;'模型参数'!$B$23,MIN('模型参数'!$B$23-2,1)/'模型参数'!$B$23,0))+'AI基建投资'!C$10*('模型参数'!$B$20*(1-'模型参数'!$B$21)*IF(1&lt;'模型参数'!$B$19,MIN('模型参数'!$B$19-1,1)/'模型参数'!$B$19,0)+'模型参数'!$B$22*IF(1&lt;'模型参数'!$B$23,MIN('模型参数'!$B$23-1,1)/'模型参数'!$B$23,0))+'AI基建投资'!D$10*('模型参数'!$B$20*(1-'模型参数'!$B$21)*IF(0&lt;'模型参数'!$B$19,MIN('模型参数'!$B$19-0,1)/'模型参数'!$B$19,0)+'模型参数'!$B$22*IF(0&lt;'模型参数'!$B$23,MIN('模型参数'!$B$23-0,1)/'模型参数'!$B$23,0))</x:f>
        <x:v>809.1333333333334</x:v>
      </x:c>
      <x:c r="E9" s="40" t="n">
        <x:f>'模型参数'!$G$5*('模型参数'!$B$20*(1-'模型参数'!$B$21)*IF((2025-'模型参数'!$F$5)&lt;'模型参数'!$B$19,MIN('模型参数'!$B$19-(2025-'模型参数'!$F$5),1)/'模型参数'!$B$19,0)+'模型参数'!$B$22*IF((2025-'模型参数'!$F$5)&lt;'模型参数'!$B$23,MIN('模型参数'!$B$23-(2025-'模型参数'!$F$5),1)/'模型参数'!$B$23,0))+'模型参数'!$G$6*('模型参数'!$B$20*(1-'模型参数'!$B$21)*IF((2025-'模型参数'!$F$6)&lt;'模型参数'!$B$19,MIN('模型参数'!$B$19-(2025-'模型参数'!$F$6),1)/'模型参数'!$B$19,0)+'模型参数'!$B$22*IF((2025-'模型参数'!$F$6)&lt;'模型参数'!$B$23,MIN('模型参数'!$B$23-(2025-'模型参数'!$F$6),1)/'模型参数'!$B$23,0))+'模型参数'!$G$7*('模型参数'!$B$20*(1-'模型参数'!$B$21)*IF((2025-'模型参数'!$F$7)&lt;'模型参数'!$B$19,MIN('模型参数'!$B$19-(2025-'模型参数'!$F$7),1)/'模型参数'!$B$19,0)+'模型参数'!$B$22*IF((2025-'模型参数'!$F$7)&lt;'模型参数'!$B$23,MIN('模型参数'!$B$23-(2025-'模型参数'!$F$7),1)/'模型参数'!$B$23,0))+'模型参数'!$G$8*('模型参数'!$B$20*(1-'模型参数'!$B$21)*IF((2025-'模型参数'!$F$8)&lt;'模型参数'!$B$19,MIN('模型参数'!$B$19-(2025-'模型参数'!$F$8),1)/'模型参数'!$B$19,0)+'模型参数'!$B$22*IF((2025-'模型参数'!$F$8)&lt;'模型参数'!$B$23,MIN('模型参数'!$B$23-(2025-'模型参数'!$F$8),1)/'模型参数'!$B$23,0))+'AI基建投资'!B$10*('模型参数'!$B$20*(1-'模型参数'!$B$21)*IF(3&lt;'模型参数'!$B$19,MIN('模型参数'!$B$19-3,1)/'模型参数'!$B$19,0)+'模型参数'!$B$22*IF(3&lt;'模型参数'!$B$23,MIN('模型参数'!$B$23-3,1)/'模型参数'!$B$23,0))+'AI基建投资'!C$10*('模型参数'!$B$20*(1-'模型参数'!$B$21)*IF(2&lt;'模型参数'!$B$19,MIN('模型参数'!$B$19-2,1)/'模型参数'!$B$19,0)+'模型参数'!$B$22*IF(2&lt;'模型参数'!$B$23,MIN('模型参数'!$B$23-2,1)/'模型参数'!$B$23,0))+'AI基建投资'!D$10*('模型参数'!$B$20*(1-'模型参数'!$B$21)*IF(1&lt;'模型参数'!$B$19,MIN('模型参数'!$B$19-1,1)/'模型参数'!$B$19,0)+'模型参数'!$B$22*IF(1&lt;'模型参数'!$B$23,MIN('模型参数'!$B$23-1,1)/'模型参数'!$B$23,0))+'AI基建投资'!E$10*('模型参数'!$B$20*(1-'模型参数'!$B$21)*IF(0&lt;'模型参数'!$B$19,MIN('模型参数'!$B$19-0,1)/'模型参数'!$B$19,0)+'模型参数'!$B$22*IF(0&lt;'模型参数'!$B$23,MIN('模型参数'!$B$23-0,1)/'模型参数'!$B$23,0))</x:f>
        <x:v>1480.8000000000002</x:v>
      </x:c>
      <x:c r="F9" s="40" t="n">
        <x:f>'模型参数'!$G$5*('模型参数'!$B$20*(1-'模型参数'!$B$21)*IF((2026-'模型参数'!$F$5)&lt;'模型参数'!$B$19,MIN('模型参数'!$B$19-(2026-'模型参数'!$F$5),1)/'模型参数'!$B$19,0)+'模型参数'!$B$22*IF((2026-'模型参数'!$F$5)&lt;'模型参数'!$B$23,MIN('模型参数'!$B$23-(2026-'模型参数'!$F$5),1)/'模型参数'!$B$23,0))+'模型参数'!$G$6*('模型参数'!$B$20*(1-'模型参数'!$B$21)*IF((2026-'模型参数'!$F$6)&lt;'模型参数'!$B$19,MIN('模型参数'!$B$19-(2026-'模型参数'!$F$6),1)/'模型参数'!$B$19,0)+'模型参数'!$B$22*IF((2026-'模型参数'!$F$6)&lt;'模型参数'!$B$23,MIN('模型参数'!$B$23-(2026-'模型参数'!$F$6),1)/'模型参数'!$B$23,0))+'模型参数'!$G$7*('模型参数'!$B$20*(1-'模型参数'!$B$21)*IF((2026-'模型参数'!$F$7)&lt;'模型参数'!$B$19,MIN('模型参数'!$B$19-(2026-'模型参数'!$F$7),1)/'模型参数'!$B$19,0)+'模型参数'!$B$22*IF((2026-'模型参数'!$F$7)&lt;'模型参数'!$B$23,MIN('模型参数'!$B$23-(2026-'模型参数'!$F$7),1)/'模型参数'!$B$23,0))+'模型参数'!$G$8*('模型参数'!$B$20*(1-'模型参数'!$B$21)*IF((2026-'模型参数'!$F$8)&lt;'模型参数'!$B$19,MIN('模型参数'!$B$19-(2026-'模型参数'!$F$8),1)/'模型参数'!$B$19,0)+'模型参数'!$B$22*IF((2026-'模型参数'!$F$8)&lt;'模型参数'!$B$23,MIN('模型参数'!$B$23-(2026-'模型参数'!$F$8),1)/'模型参数'!$B$23,0))+'AI基建投资'!B$10*('模型参数'!$B$20*(1-'模型参数'!$B$21)*IF(4&lt;'模型参数'!$B$19,MIN('模型参数'!$B$19-4,1)/'模型参数'!$B$19,0)+'模型参数'!$B$22*IF(4&lt;'模型参数'!$B$23,MIN('模型参数'!$B$23-4,1)/'模型参数'!$B$23,0))+'AI基建投资'!C$10*('模型参数'!$B$20*(1-'模型参数'!$B$21)*IF(3&lt;'模型参数'!$B$19,MIN('模型参数'!$B$19-3,1)/'模型参数'!$B$19,0)+'模型参数'!$B$22*IF(3&lt;'模型参数'!$B$23,MIN('模型参数'!$B$23-3,1)/'模型参数'!$B$23,0))+'AI基建投资'!D$10*('模型参数'!$B$20*(1-'模型参数'!$B$21)*IF(2&lt;'模型参数'!$B$19,MIN('模型参数'!$B$19-2,1)/'模型参数'!$B$19,0)+'模型参数'!$B$22*IF(2&lt;'模型参数'!$B$23,MIN('模型参数'!$B$23-2,1)/'模型参数'!$B$23,0))+'AI基建投资'!E$10*('模型参数'!$B$20*(1-'模型参数'!$B$21)*IF(1&lt;'模型参数'!$B$19,MIN('模型参数'!$B$19-1,1)/'模型参数'!$B$19,0)+'模型参数'!$B$22*IF(1&lt;'模型参数'!$B$23,MIN('模型参数'!$B$23-1,1)/'模型参数'!$B$23,0))+'AI基建投资'!F$10*('模型参数'!$B$20*(1-'模型参数'!$B$21)*IF(0&lt;'模型参数'!$B$19,MIN('模型参数'!$B$19-0,1)/'模型参数'!$B$19,0)+'模型参数'!$B$22*IF(0&lt;'模型参数'!$B$23,MIN('模型参数'!$B$23-0,1)/'模型参数'!$B$23,0))</x:f>
        <x:v>2717.918356807512</x:v>
      </x:c>
      <x:c r="G9" s="40" t="n">
        <x:f>'模型参数'!$G$5*('模型参数'!$B$20*(1-'模型参数'!$B$21)*IF((2027-'模型参数'!$F$5)&lt;'模型参数'!$B$19,MIN('模型参数'!$B$19-(2027-'模型参数'!$F$5),1)/'模型参数'!$B$19,0)+'模型参数'!$B$22*IF((2027-'模型参数'!$F$5)&lt;'模型参数'!$B$23,MIN('模型参数'!$B$23-(2027-'模型参数'!$F$5),1)/'模型参数'!$B$23,0))+'模型参数'!$G$6*('模型参数'!$B$20*(1-'模型参数'!$B$21)*IF((2027-'模型参数'!$F$6)&lt;'模型参数'!$B$19,MIN('模型参数'!$B$19-(2027-'模型参数'!$F$6),1)/'模型参数'!$B$19,0)+'模型参数'!$B$22*IF((2027-'模型参数'!$F$6)&lt;'模型参数'!$B$23,MIN('模型参数'!$B$23-(2027-'模型参数'!$F$6),1)/'模型参数'!$B$23,0))+'模型参数'!$G$7*('模型参数'!$B$20*(1-'模型参数'!$B$21)*IF((2027-'模型参数'!$F$7)&lt;'模型参数'!$B$19,MIN('模型参数'!$B$19-(2027-'模型参数'!$F$7),1)/'模型参数'!$B$19,0)+'模型参数'!$B$22*IF((2027-'模型参数'!$F$7)&lt;'模型参数'!$B$23,MIN('模型参数'!$B$23-(2027-'模型参数'!$F$7),1)/'模型参数'!$B$23,0))+'模型参数'!$G$8*('模型参数'!$B$20*(1-'模型参数'!$B$21)*IF((2027-'模型参数'!$F$8)&lt;'模型参数'!$B$19,MIN('模型参数'!$B$19-(2027-'模型参数'!$F$8),1)/'模型参数'!$B$19,0)+'模型参数'!$B$22*IF((2027-'模型参数'!$F$8)&lt;'模型参数'!$B$23,MIN('模型参数'!$B$23-(2027-'模型参数'!$F$8),1)/'模型参数'!$B$23,0))+'AI基建投资'!B$10*('模型参数'!$B$20*(1-'模型参数'!$B$21)*IF(5&lt;'模型参数'!$B$19,MIN('模型参数'!$B$19-5,1)/'模型参数'!$B$19,0)+'模型参数'!$B$22*IF(5&lt;'模型参数'!$B$23,MIN('模型参数'!$B$23-5,1)/'模型参数'!$B$23,0))+'AI基建投资'!C$10*('模型参数'!$B$20*(1-'模型参数'!$B$21)*IF(4&lt;'模型参数'!$B$19,MIN('模型参数'!$B$19-4,1)/'模型参数'!$B$19,0)+'模型参数'!$B$22*IF(4&lt;'模型参数'!$B$23,MIN('模型参数'!$B$23-4,1)/'模型参数'!$B$23,0))+'AI基建投资'!D$10*('模型参数'!$B$20*(1-'模型参数'!$B$21)*IF(3&lt;'模型参数'!$B$19,MIN('模型参数'!$B$19-3,1)/'模型参数'!$B$19,0)+'模型参数'!$B$22*IF(3&lt;'模型参数'!$B$23,MIN('模型参数'!$B$23-3,1)/'模型参数'!$B$23,0))+'AI基建投资'!E$10*('模型参数'!$B$20*(1-'模型参数'!$B$21)*IF(2&lt;'模型参数'!$B$19,MIN('模型参数'!$B$19-2,1)/'模型参数'!$B$19,0)+'模型参数'!$B$22*IF(2&lt;'模型参数'!$B$23,MIN('模型参数'!$B$23-2,1)/'模型参数'!$B$23,0))+'AI基建投资'!F$10*('模型参数'!$B$20*(1-'模型参数'!$B$21)*IF(1&lt;'模型参数'!$B$19,MIN('模型参数'!$B$19-1,1)/'模型参数'!$B$19,0)+'模型参数'!$B$22*IF(1&lt;'模型参数'!$B$23,MIN('模型参数'!$B$23-1,1)/'模型参数'!$B$23,0))+'AI基建投资'!G$10*('模型参数'!$B$20*(1-'模型参数'!$B$21)*IF(0&lt;'模型参数'!$B$19,MIN('模型参数'!$B$19-0,1)/'模型参数'!$B$19,0)+'模型参数'!$B$22*IF(0&lt;'模型参数'!$B$23,MIN('模型参数'!$B$23-0,1)/'模型参数'!$B$23,0))</x:f>
        <x:v>4813.890776518384</x:v>
      </x:c>
      <x:c r="H9" s="40" t="n">
        <x:f>'模型参数'!$G$5*('模型参数'!$B$20*(1-'模型参数'!$B$21)*IF((2028-'模型参数'!$F$5)&lt;'模型参数'!$B$19,MIN('模型参数'!$B$19-(2028-'模型参数'!$F$5),1)/'模型参数'!$B$19,0)+'模型参数'!$B$22*IF((2028-'模型参数'!$F$5)&lt;'模型参数'!$B$23,MIN('模型参数'!$B$23-(2028-'模型参数'!$F$5),1)/'模型参数'!$B$23,0))+'模型参数'!$G$6*('模型参数'!$B$20*(1-'模型参数'!$B$21)*IF((2028-'模型参数'!$F$6)&lt;'模型参数'!$B$19,MIN('模型参数'!$B$19-(2028-'模型参数'!$F$6),1)/'模型参数'!$B$19,0)+'模型参数'!$B$22*IF((2028-'模型参数'!$F$6)&lt;'模型参数'!$B$23,MIN('模型参数'!$B$23-(2028-'模型参数'!$F$6),1)/'模型参数'!$B$23,0))+'模型参数'!$G$7*('模型参数'!$B$20*(1-'模型参数'!$B$21)*IF((2028-'模型参数'!$F$7)&lt;'模型参数'!$B$19,MIN('模型参数'!$B$19-(2028-'模型参数'!$F$7),1)/'模型参数'!$B$19,0)+'模型参数'!$B$22*IF((2028-'模型参数'!$F$7)&lt;'模型参数'!$B$23,MIN('模型参数'!$B$23-(2028-'模型参数'!$F$7),1)/'模型参数'!$B$23,0))+'模型参数'!$G$8*('模型参数'!$B$20*(1-'模型参数'!$B$21)*IF((2028-'模型参数'!$F$8)&lt;'模型参数'!$B$19,MIN('模型参数'!$B$19-(2028-'模型参数'!$F$8),1)/'模型参数'!$B$19,0)+'模型参数'!$B$22*IF((2028-'模型参数'!$F$8)&lt;'模型参数'!$B$23,MIN('模型参数'!$B$23-(2028-'模型参数'!$F$8),1)/'模型参数'!$B$23,0))+'AI基建投资'!B$10*('模型参数'!$B$20*(1-'模型参数'!$B$21)*IF(6&lt;'模型参数'!$B$19,MIN('模型参数'!$B$19-6,1)/'模型参数'!$B$19,0)+'模型参数'!$B$22*IF(6&lt;'模型参数'!$B$23,MIN('模型参数'!$B$23-6,1)/'模型参数'!$B$23,0))+'AI基建投资'!C$10*('模型参数'!$B$20*(1-'模型参数'!$B$21)*IF(5&lt;'模型参数'!$B$19,MIN('模型参数'!$B$19-5,1)/'模型参数'!$B$19,0)+'模型参数'!$B$22*IF(5&lt;'模型参数'!$B$23,MIN('模型参数'!$B$23-5,1)/'模型参数'!$B$23,0))+'AI基建投资'!D$10*('模型参数'!$B$20*(1-'模型参数'!$B$21)*IF(4&lt;'模型参数'!$B$19,MIN('模型参数'!$B$19-4,1)/'模型参数'!$B$19,0)+'模型参数'!$B$22*IF(4&lt;'模型参数'!$B$23,MIN('模型参数'!$B$23-4,1)/'模型参数'!$B$23,0))+'AI基建投资'!E$10*('模型参数'!$B$20*(1-'模型参数'!$B$21)*IF(3&lt;'模型参数'!$B$19,MIN('模型参数'!$B$19-3,1)/'模型参数'!$B$19,0)+'模型参数'!$B$22*IF(3&lt;'模型参数'!$B$23,MIN('模型参数'!$B$23-3,1)/'模型参数'!$B$23,0))+'AI基建投资'!F$10*('模型参数'!$B$20*(1-'模型参数'!$B$21)*IF(2&lt;'模型参数'!$B$19,MIN('模型参数'!$B$19-2,1)/'模型参数'!$B$19,0)+'模型参数'!$B$22*IF(2&lt;'模型参数'!$B$23,MIN('模型参数'!$B$23-2,1)/'模型参数'!$B$23,0))+'AI基建投资'!G$10*('模型参数'!$B$20*(1-'模型参数'!$B$21)*IF(1&lt;'模型参数'!$B$19,MIN('模型参数'!$B$19-1,1)/'模型参数'!$B$19,0)+'模型参数'!$B$22*IF(1&lt;'模型参数'!$B$23,MIN('模型参数'!$B$23-1,1)/'模型参数'!$B$23,0))+'AI基建投资'!H$10*('模型参数'!$B$20*(1-'模型参数'!$B$21)*IF(0&lt;'模型参数'!$B$19,MIN('模型参数'!$B$19-0,1)/'模型参数'!$B$19,0)+'模型参数'!$B$22*IF(0&lt;'模型参数'!$B$23,MIN('模型参数'!$B$23-0,1)/'模型参数'!$B$23,0))</x:f>
        <x:v>7534.437931039625</x:v>
      </x:c>
      <x:c r="I9" s="40" t="n">
        <x:f>'模型参数'!$G$5*('模型参数'!$B$20*(1-'模型参数'!$B$21)*IF((2029-'模型参数'!$F$5)&lt;'模型参数'!$B$19,MIN('模型参数'!$B$19-(2029-'模型参数'!$F$5),1)/'模型参数'!$B$19,0)+'模型参数'!$B$22*IF((2029-'模型参数'!$F$5)&lt;'模型参数'!$B$23,MIN('模型参数'!$B$23-(2029-'模型参数'!$F$5),1)/'模型参数'!$B$23,0))+'模型参数'!$G$6*('模型参数'!$B$20*(1-'模型参数'!$B$21)*IF((2029-'模型参数'!$F$6)&lt;'模型参数'!$B$19,MIN('模型参数'!$B$19-(2029-'模型参数'!$F$6),1)/'模型参数'!$B$19,0)+'模型参数'!$B$22*IF((2029-'模型参数'!$F$6)&lt;'模型参数'!$B$23,MIN('模型参数'!$B$23-(2029-'模型参数'!$F$6),1)/'模型参数'!$B$23,0))+'模型参数'!$G$7*('模型参数'!$B$20*(1-'模型参数'!$B$21)*IF((2029-'模型参数'!$F$7)&lt;'模型参数'!$B$19,MIN('模型参数'!$B$19-(2029-'模型参数'!$F$7),1)/'模型参数'!$B$19,0)+'模型参数'!$B$22*IF((2029-'模型参数'!$F$7)&lt;'模型参数'!$B$23,MIN('模型参数'!$B$23-(2029-'模型参数'!$F$7),1)/'模型参数'!$B$23,0))+'模型参数'!$G$8*('模型参数'!$B$20*(1-'模型参数'!$B$21)*IF((2029-'模型参数'!$F$8)&lt;'模型参数'!$B$19,MIN('模型参数'!$B$19-(2029-'模型参数'!$F$8),1)/'模型参数'!$B$19,0)+'模型参数'!$B$22*IF((2029-'模型参数'!$F$8)&lt;'模型参数'!$B$23,MIN('模型参数'!$B$23-(2029-'模型参数'!$F$8),1)/'模型参数'!$B$23,0))+'AI基建投资'!B$10*('模型参数'!$B$20*(1-'模型参数'!$B$21)*IF(7&lt;'模型参数'!$B$19,MIN('模型参数'!$B$19-7,1)/'模型参数'!$B$19,0)+'模型参数'!$B$22*IF(7&lt;'模型参数'!$B$23,MIN('模型参数'!$B$23-7,1)/'模型参数'!$B$23,0))+'AI基建投资'!C$10*('模型参数'!$B$20*(1-'模型参数'!$B$21)*IF(6&lt;'模型参数'!$B$19,MIN('模型参数'!$B$19-6,1)/'模型参数'!$B$19,0)+'模型参数'!$B$22*IF(6&lt;'模型参数'!$B$23,MIN('模型参数'!$B$23-6,1)/'模型参数'!$B$23,0))+'AI基建投资'!D$10*('模型参数'!$B$20*(1-'模型参数'!$B$21)*IF(5&lt;'模型参数'!$B$19,MIN('模型参数'!$B$19-5,1)/'模型参数'!$B$19,0)+'模型参数'!$B$22*IF(5&lt;'模型参数'!$B$23,MIN('模型参数'!$B$23-5,1)/'模型参数'!$B$23,0))+'AI基建投资'!E$10*('模型参数'!$B$20*(1-'模型参数'!$B$21)*IF(4&lt;'模型参数'!$B$19,MIN('模型参数'!$B$19-4,1)/'模型参数'!$B$19,0)+'模型参数'!$B$22*IF(4&lt;'模型参数'!$B$23,MIN('模型参数'!$B$23-4,1)/'模型参数'!$B$23,0))+'AI基建投资'!F$10*('模型参数'!$B$20*(1-'模型参数'!$B$21)*IF(3&lt;'模型参数'!$B$19,MIN('模型参数'!$B$19-3,1)/'模型参数'!$B$19,0)+'模型参数'!$B$22*IF(3&lt;'模型参数'!$B$23,MIN('模型参数'!$B$23-3,1)/'模型参数'!$B$23,0))+'AI基建投资'!G$10*('模型参数'!$B$20*(1-'模型参数'!$B$21)*IF(2&lt;'模型参数'!$B$19,MIN('模型参数'!$B$19-2,1)/'模型参数'!$B$19,0)+'模型参数'!$B$22*IF(2&lt;'模型参数'!$B$23,MIN('模型参数'!$B$23-2,1)/'模型参数'!$B$23,0))+'AI基建投资'!H$10*('模型参数'!$B$20*(1-'模型参数'!$B$21)*IF(1&lt;'模型参数'!$B$19,MIN('模型参数'!$B$19-1,1)/'模型参数'!$B$19,0)+'模型参数'!$B$22*IF(1&lt;'模型参数'!$B$23,MIN('模型参数'!$B$23-1,1)/'模型参数'!$B$23,0))+'AI基建投资'!I$10*('模型参数'!$B$20*(1-'模型参数'!$B$21)*IF(0&lt;'模型参数'!$B$19,MIN('模型参数'!$B$19-0,1)/'模型参数'!$B$19,0)+'模型参数'!$B$22*IF(0&lt;'模型参数'!$B$23,MIN('模型参数'!$B$23-0,1)/'模型参数'!$B$23,0))</x:f>
        <x:v>10674.45461055619</x:v>
      </x:c>
      <x:c r="J9" s="40" t="n">
        <x:f>'模型参数'!$G$5*('模型参数'!$B$20*(1-'模型参数'!$B$21)*IF((2030-'模型参数'!$F$5)&lt;'模型参数'!$B$19,MIN('模型参数'!$B$19-(2030-'模型参数'!$F$5),1)/'模型参数'!$B$19,0)+'模型参数'!$B$22*IF((2030-'模型参数'!$F$5)&lt;'模型参数'!$B$23,MIN('模型参数'!$B$23-(2030-'模型参数'!$F$5),1)/'模型参数'!$B$23,0))+'模型参数'!$G$6*('模型参数'!$B$20*(1-'模型参数'!$B$21)*IF((2030-'模型参数'!$F$6)&lt;'模型参数'!$B$19,MIN('模型参数'!$B$19-(2030-'模型参数'!$F$6),1)/'模型参数'!$B$19,0)+'模型参数'!$B$22*IF((2030-'模型参数'!$F$6)&lt;'模型参数'!$B$23,MIN('模型参数'!$B$23-(2030-'模型参数'!$F$6),1)/'模型参数'!$B$23,0))+'模型参数'!$G$7*('模型参数'!$B$20*(1-'模型参数'!$B$21)*IF((2030-'模型参数'!$F$7)&lt;'模型参数'!$B$19,MIN('模型参数'!$B$19-(2030-'模型参数'!$F$7),1)/'模型参数'!$B$19,0)+'模型参数'!$B$22*IF((2030-'模型参数'!$F$7)&lt;'模型参数'!$B$23,MIN('模型参数'!$B$23-(2030-'模型参数'!$F$7),1)/'模型参数'!$B$23,0))+'模型参数'!$G$8*('模型参数'!$B$20*(1-'模型参数'!$B$21)*IF((2030-'模型参数'!$F$8)&lt;'模型参数'!$B$19,MIN('模型参数'!$B$19-(2030-'模型参数'!$F$8),1)/'模型参数'!$B$19,0)+'模型参数'!$B$22*IF((2030-'模型参数'!$F$8)&lt;'模型参数'!$B$23,MIN('模型参数'!$B$23-(2030-'模型参数'!$F$8),1)/'模型参数'!$B$23,0))+'AI基建投资'!B$10*('模型参数'!$B$20*(1-'模型参数'!$B$21)*IF(8&lt;'模型参数'!$B$19,MIN('模型参数'!$B$19-8,1)/'模型参数'!$B$19,0)+'模型参数'!$B$22*IF(8&lt;'模型参数'!$B$23,MIN('模型参数'!$B$23-8,1)/'模型参数'!$B$23,0))+'AI基建投资'!C$10*('模型参数'!$B$20*(1-'模型参数'!$B$21)*IF(7&lt;'模型参数'!$B$19,MIN('模型参数'!$B$19-7,1)/'模型参数'!$B$19,0)+'模型参数'!$B$22*IF(7&lt;'模型参数'!$B$23,MIN('模型参数'!$B$23-7,1)/'模型参数'!$B$23,0))+'AI基建投资'!D$10*('模型参数'!$B$20*(1-'模型参数'!$B$21)*IF(6&lt;'模型参数'!$B$19,MIN('模型参数'!$B$19-6,1)/'模型参数'!$B$19,0)+'模型参数'!$B$22*IF(6&lt;'模型参数'!$B$23,MIN('模型参数'!$B$23-6,1)/'模型参数'!$B$23,0))+'AI基建投资'!E$10*('模型参数'!$B$20*(1-'模型参数'!$B$21)*IF(5&lt;'模型参数'!$B$19,MIN('模型参数'!$B$19-5,1)/'模型参数'!$B$19,0)+'模型参数'!$B$22*IF(5&lt;'模型参数'!$B$23,MIN('模型参数'!$B$23-5,1)/'模型参数'!$B$23,0))+'AI基建投资'!F$10*('模型参数'!$B$20*(1-'模型参数'!$B$21)*IF(4&lt;'模型参数'!$B$19,MIN('模型参数'!$B$19-4,1)/'模型参数'!$B$19,0)+'模型参数'!$B$22*IF(4&lt;'模型参数'!$B$23,MIN('模型参数'!$B$23-4,1)/'模型参数'!$B$23,0))+'AI基建投资'!G$10*('模型参数'!$B$20*(1-'模型参数'!$B$21)*IF(3&lt;'模型参数'!$B$19,MIN('模型参数'!$B$19-3,1)/'模型参数'!$B$19,0)+'模型参数'!$B$22*IF(3&lt;'模型参数'!$B$23,MIN('模型参数'!$B$23-3,1)/'模型参数'!$B$23,0))+'AI基建投资'!H$10*('模型参数'!$B$20*(1-'模型参数'!$B$21)*IF(2&lt;'模型参数'!$B$19,MIN('模型参数'!$B$19-2,1)/'模型参数'!$B$19,0)+'模型参数'!$B$22*IF(2&lt;'模型参数'!$B$23,MIN('模型参数'!$B$23-2,1)/'模型参数'!$B$23,0))+'AI基建投资'!I$10*('模型参数'!$B$20*(1-'模型参数'!$B$21)*IF(1&lt;'模型参数'!$B$19,MIN('模型参数'!$B$19-1,1)/'模型参数'!$B$19,0)+'模型参数'!$B$22*IF(1&lt;'模型参数'!$B$23,MIN('模型参数'!$B$23-1,1)/'模型参数'!$B$23,0))+'AI基建投资'!J$10*('模型参数'!$B$20*(1-'模型参数'!$B$21)*IF(0&lt;'模型参数'!$B$19,MIN('模型参数'!$B$19-0,1)/'模型参数'!$B$19,0)+'模型参数'!$B$22*IF(0&lt;'模型参数'!$B$23,MIN('模型参数'!$B$23-0,1)/'模型参数'!$B$23,0))</x:f>
        <x:v>13939.185568809782</x:v>
      </x:c>
      <x:c r="K9" s="92"/>
      <x:c r="L9" s="95" t="n">
        <x:v>2026</x:v>
      </x:c>
      <x:c r="M9" s="95" t="n">
        <x:f>F5</x:f>
        <x:v>9109.897887323943</x:v>
      </x:c>
      <x:c r="N9" s="95" t="n">
        <x:f>F6</x:f>
        <x:v>3118.76722001407</x:v>
      </x:c>
      <x:c r="O9" s="95" t="n">
        <x:f>F7</x:f>
        <x:v>1559.383610007035</x:v>
      </x:c>
      <x:c r="P9" s="95" t="n">
        <x:f>F9</x:f>
        <x:v>2717.918356807512</x:v>
      </x:c>
    </x:row>
    <x:row r="10" ht="15" hidden="0" customHeight="1">
      <x:c r="A10" s="16" t="str">
        <x:v>应用毛利/经济折旧</x:v>
      </x:c>
      <x:c r="B10" s="47" t="n">
        <x:f>B7/B9</x:f>
        <x:v>0.07858754512635378</x:v>
      </x:c>
      <x:c r="C10" s="47" t="n">
        <x:f>C7/C9</x:f>
        <x:v>0.14488208730556945</x:v>
      </x:c>
      <x:c r="D10" s="47" t="n">
        <x:f>D7/D9</x:f>
        <x:v>0.2863681305100106</x:v>
      </x:c>
      <x:c r="E10" s="47" t="n">
        <x:f>E7/E9</x:f>
        <x:v>0.5840518638573743</x:v>
      </x:c>
      <x:c r="F10" s="47" t="n">
        <x:f>F7/F9</x:f>
        <x:v>0.5737418881995776</x:v>
      </x:c>
      <x:c r="G10" s="47" t="n">
        <x:f>G7/G9</x:f>
        <x:v>0.8499930199374319</x:v>
      </x:c>
      <x:c r="H10" s="47" t="n">
        <x:f>H7/H9</x:f>
        <x:v>1.1420738934635926</x:v>
      </x:c>
      <x:c r="I10" s="47" t="n">
        <x:f>I7/I9</x:f>
        <x:v>1.5328134348521192</x:v>
      </x:c>
      <x:c r="J10" s="47" t="n">
        <x:f>J7/J9</x:f>
        <x:v>2.041246512585517</x:v>
      </x:c>
      <x:c r="K10" s="92"/>
      <x:c r="L10" s="95" t="n">
        <x:v>2027</x:v>
      </x:c>
      <x:c r="M10" s="95" t="n">
        <x:f>G5</x:f>
        <x:v>15215.266498028674</x:v>
      </x:c>
      <x:c r="N10" s="95" t="n">
        <x:f>G6</x:f>
        <x:v>7590.055007752871</x:v>
      </x:c>
      <x:c r="O10" s="95" t="n">
        <x:f>G7</x:f>
        <x:v>4091.7735587818106</x:v>
      </x:c>
      <x:c r="P10" s="95" t="n">
        <x:f>G9</x:f>
        <x:v>4813.890776518384</x:v>
      </x:c>
    </x:row>
    <x:row r="11" ht="15" hidden="0" customHeight="1">
      <x:c r="A11" s="16" t="str">
        <x:v>（应用毛利+内部效率净值）/经济折旧</x:v>
      </x:c>
      <x:c r="B11" s="47" t="n">
        <x:f>(B7+B8)/B9</x:f>
        <x:v>0.11649368231046932</x:v>
      </x:c>
      <x:c r="C11" s="47" t="n">
        <x:f>(C7+C8)/C9</x:f>
        <x:v>0.22390868038133463</x:v>
      </x:c>
      <x:c r="D11" s="47" t="n">
        <x:f>(D7+D8)/D9</x:f>
        <x:v>0.4593927659223859</x:v>
      </x:c>
      <x:c r="E11" s="47" t="n">
        <x:f>(E7+E8)/E9</x:f>
        <x:v>0.8271636952998378</x:v>
      </x:c>
      <x:c r="F11" s="47" t="n">
        <x:f>(F7+F8)/F9</x:f>
        <x:v>0.8809519991687551</x:v>
      </x:c>
      <x:c r="G11" s="47" t="n">
        <x:f>(G7+G8)/G9</x:f>
        <x:v>1.1451950535464663</x:v>
      </x:c>
      <x:c r="H11" s="47" t="n">
        <x:f>(H7+H8)/H9</x:f>
        <x:v>1.425785268295377</x:v>
      </x:c>
      <x:c r="I11" s="47" t="n">
        <x:f>(I7+I8)/I9</x:f>
        <x:v>1.8093650689403535</x:v>
      </x:c>
      <x:c r="J11" s="47" t="n">
        <x:f>(J7+J8)/J9</x:f>
        <x:v>2.316749538256758</x:v>
      </x:c>
      <x:c r="K11" s="92"/>
      <x:c r="L11" s="95" t="n">
        <x:v>2028</x:v>
      </x:c>
      <x:c r="M11" s="95" t="n">
        <x:f>H5</x:f>
        <x:v>19985.094235372104</x:v>
      </x:c>
      <x:c r="N11" s="95" t="n">
        <x:f>H6</x:f>
        <x:v>14974.93437310543</x:v>
      </x:c>
      <x:c r="O11" s="95" t="n">
        <x:f>H7</x:f>
        <x:v>8604.884862962199</x:v>
      </x:c>
      <x:c r="P11" s="95" t="n">
        <x:f>H9</x:f>
        <x:v>7534.437931039625</x:v>
      </x:c>
    </x:row>
    <x:row r="12" ht="15" hidden="0" customHeight="1">
      <x:c r="A12" s="16" t="str">
        <x:v>AI应用收入/同年净投资</x:v>
      </x:c>
      <x:c r="B12" s="42" t="n">
        <x:f>B6/B5</x:f>
        <x:v>0.07105263157894737</x:v>
      </x:c>
      <x:c r="C12" s="42" t="n">
        <x:f>C6/C5</x:f>
        <x:v>0.13358778625954199</x:v>
      </x:c>
      <x:c r="D12" s="42" t="n">
        <x:f>D6/D5</x:f>
        <x:v>0.22409090909090906</x:v>
      </x:c>
      <x:c r="E12" s="42" t="n">
        <x:f>E6/E5</x:f>
        <x:v>0.3567920792079208</x:v>
      </x:c>
      <x:c r="F12" s="42" t="n">
        <x:f>F6/F5</x:f>
        <x:v>0.3423493060612358</x:v>
      </x:c>
      <x:c r="G12" s="42" t="n">
        <x:f>G6/G5</x:f>
        <x:v>0.49884469711629803</x:v>
      </x:c>
      <x:c r="H12" s="42" t="n">
        <x:f>H6/H5</x:f>
        <x:v>0.7493051669779435</x:v>
      </x:c>
      <x:c r="I12" s="42" t="n">
        <x:f>I6/I5</x:f>
        <x:v>1.1093739988628073</x:v>
      </x:c>
      <x:c r="J12" s="42" t="n">
        <x:f>J6/J5</x:f>
        <x:v>1.6073504529600022</x:v>
      </x:c>
      <x:c r="K12" s="92"/>
      <x:c r="L12" s="95" t="n">
        <x:v>2029</x:v>
      </x:c>
      <x:c r="M12" s="95" t="n">
        <x:f>I5</x:f>
        <x:v>24375.11372397658</x:v>
      </x:c>
      <x:c r="N12" s="95" t="n">
        <x:f>I6</x:f>
        <x:v>27041.117384703593</x:v>
      </x:c>
      <x:c r="O12" s="95" t="n">
        <x:f>I7</x:f>
        <x:v>16361.947436779674</x:v>
      </x:c>
      <x:c r="P12" s="95" t="n">
        <x:f>I9</x:f>
        <x:v>10674.45461055619</x:v>
      </x:c>
    </x:row>
    <x:row r="13" ht="15" hidden="0" customHeight="1">
      <x:c r="A13" s="16" t="str">
        <x:v>AI应用毛利/同年净投资</x:v>
      </x:c>
      <x:c r="B13" s="42" t="n">
        <x:f>B7/B5</x:f>
        <x:v>0.03055263157894737</x:v>
      </x:c>
      <x:c r="C13" s="42" t="n">
        <x:f>C7/C5</x:f>
        <x:v>0.058778625954198464</x:v>
      </x:c>
      <x:c r="D13" s="42" t="n">
        <x:f>D7/D5</x:f>
        <x:v>0.10532272727272725</x:v>
      </x:c>
      <x:c r="E13" s="42" t="n">
        <x:f>E7/E5</x:f>
        <x:v>0.171260198019802</x:v>
      </x:c>
      <x:c r="F13" s="42" t="n">
        <x:f>F7/F5</x:f>
        <x:v>0.1711746530306179</x:v>
      </x:c>
      <x:c r="G13" s="42" t="n">
        <x:f>G7/G5</x:f>
        <x:v>0.26892552682609605</x:v>
      </x:c>
      <x:c r="H13" s="42" t="n">
        <x:f>H7/H5</x:f>
        <x:v>0.4305651382785178</x:v>
      </x:c>
      <x:c r="I13" s="42" t="n">
        <x:f>I7/I5</x:f>
        <x:v>0.6712562502092142</x:v>
      </x:c>
      <x:c r="J13" s="42" t="n">
        <x:f>J7/J5</x:f>
        <x:v>1.0142983067064266</x:v>
      </x:c>
      <x:c r="K13" s="92"/>
      <x:c r="L13" s="95" t="n">
        <x:v>2030</x:v>
      </x:c>
      <x:c r="M13" s="95" t="n">
        <x:f>J5</x:f>
        <x:v>28052.214760179733</x:v>
      </x:c>
      <x:c r="N13" s="95" t="n">
        <x:f>J6</x:f>
        <x:v>45089.74010130615</x:v>
      </x:c>
      <x:c r="O13" s="95" t="n">
        <x:f>J7</x:f>
        <x:v>28453.31393061533</x:v>
      </x:c>
      <x:c r="P13" s="95" t="n">
        <x:f>J9</x:f>
        <x:v>13939.185568809782</x:v>
      </x:c>
    </x:row>
    <x:row r="14" ht="15" hidden="0" customHeight="1">
      <x:c r="A14" s="92"/>
      <x:c r="B14" s="92"/>
      <x:c r="C14" s="92"/>
      <x:c r="D14" s="92"/>
      <x:c r="E14" s="92"/>
      <x:c r="F14" s="92"/>
      <x:c r="G14" s="92"/>
      <x:c r="H14" s="92"/>
      <x:c r="I14" s="92"/>
      <x:c r="J14" s="92"/>
      <x:c r="K14" s="92"/>
      <x:c r="L14" s="92"/>
      <x:c r="M14" s="92"/>
      <x:c r="N14" s="92"/>
      <x:c r="O14" s="92"/>
      <x:c r="P14" s="92"/>
    </x:row>
    <x:row r="15" ht="15" hidden="0" customHeight="1">
      <x:c r="A15" s="92"/>
      <x:c r="B15" s="92"/>
      <x:c r="C15" s="92"/>
      <x:c r="D15" s="92"/>
      <x:c r="E15" s="92"/>
      <x:c r="F15" s="92"/>
      <x:c r="G15" s="92"/>
      <x:c r="H15" s="92"/>
      <x:c r="I15" s="92"/>
      <x:c r="J15" s="92"/>
      <x:c r="K15" s="92"/>
      <x:c r="L15" s="92"/>
      <x:c r="M15" s="92"/>
      <x:c r="N15" s="92"/>
      <x:c r="O15" s="92"/>
      <x:c r="P15" s="92"/>
    </x:row>
    <x:row r="16" ht="15" hidden="0" customHeight="1">
      <x:c r="A16" s="29" t="str">
        <x:v>阶段判断规则</x:v>
      </x:c>
      <x:c r="B16" s="29" t="str">
        <x:v>阶段判断规则</x:v>
      </x:c>
      <x:c r="C16" s="29" t="str">
        <x:v>阶段判断规则</x:v>
      </x:c>
      <x:c r="D16" s="29" t="str">
        <x:v>阶段判断规则</x:v>
      </x:c>
      <x:c r="E16" s="29" t="str">
        <x:v>阶段判断规则</x:v>
      </x:c>
      <x:c r="F16" s="29" t="str">
        <x:v>阶段判断规则</x:v>
      </x:c>
      <x:c r="G16" s="29" t="str">
        <x:v>阶段判断规则</x:v>
      </x:c>
      <x:c r="H16" s="29" t="str">
        <x:v>阶段判断规则</x:v>
      </x:c>
      <x:c r="I16" s="29" t="str">
        <x:v>阶段判断规则</x:v>
      </x:c>
      <x:c r="J16" s="29" t="str">
        <x:v>阶段判断规则</x:v>
      </x:c>
      <x:c r="K16" s="92"/>
      <x:c r="L16" s="92"/>
      <x:c r="M16" s="92"/>
      <x:c r="N16" s="92"/>
      <x:c r="O16" s="92"/>
      <x:c r="P16" s="92"/>
    </x:row>
    <x:row r="17" ht="15" hidden="0" customHeight="1">
      <x:c r="A17" s="106" t="str">
        <x:v>阶段</x:v>
      </x:c>
      <x:c r="B17" s="106" t="str">
        <x:v>收入/投资</x:v>
      </x:c>
      <x:c r="C17" s="106" t="str">
        <x:v>应用毛利/投资</x:v>
      </x:c>
      <x:c r="D17" s="106" t="str">
        <x:v>应用毛利/经济折旧</x:v>
      </x:c>
      <x:c r="E17" s="106" t="str">
        <x:v>解释</x:v>
      </x:c>
      <x:c r="F17" s="106" t="str"/>
      <x:c r="G17" s="106" t="str"/>
      <x:c r="H17" s="106" t="str"/>
      <x:c r="I17" s="106" t="str"/>
      <x:c r="J17" s="106" t="str"/>
      <x:c r="K17" s="92"/>
      <x:c r="L17" s="92"/>
      <x:c r="M17" s="92"/>
      <x:c r="N17" s="92"/>
      <x:c r="O17" s="92"/>
      <x:c r="P17" s="92"/>
    </x:row>
    <x:row r="18" ht="21.600000381469727" hidden="0" customHeight="1">
      <x:c r="A18" s="16" t="str">
        <x:v>基础设施短缺期</x:v>
      </x:c>
      <x:c r="B18" s="16" t="str">
        <x:v>&lt;20%；20%—30%为过渡</x:v>
      </x:c>
      <x:c r="C18" s="16" t="str">
        <x:v>仅旁证</x:v>
      </x:c>
      <x:c r="D18" s="16" t="str">
        <x:v>—</x:v>
      </x:c>
      <x:c r="E18" s="16" t="str">
        <x:v>低于20%为资产形成主导；20%—30%显示短缺期向应用加速期过渡</x:v>
      </x:c>
      <x:c r="F18" s="16" t="str"/>
      <x:c r="G18" s="16" t="str"/>
      <x:c r="H18" s="16" t="str"/>
      <x:c r="I18" s="16" t="str"/>
      <x:c r="J18" s="16" t="str"/>
      <x:c r="K18" s="92"/>
      <x:c r="L18" s="92"/>
      <x:c r="M18" s="92"/>
      <x:c r="N18" s="92"/>
      <x:c r="O18" s="92"/>
      <x:c r="P18" s="92"/>
    </x:row>
    <x:row r="19" ht="21.600000381469727" hidden="0" customHeight="1">
      <x:c r="A19" s="16" t="str">
        <x:v>AI应用加速放量期</x:v>
      </x:c>
      <x:c r="B19" s="16" t="str">
        <x:v>&gt;30%且&lt;70%；70%—80%为过渡</x:v>
      </x:c>
      <x:c r="C19" s="16" t="str">
        <x:v>仅旁证</x:v>
      </x:c>
      <x:c r="D19" s="16" t="str">
        <x:v>—</x:v>
      </x:c>
      <x:c r="E19" s="16" t="str">
        <x:v>收入增速追赶投资；75%阈值两侧各5个百分点为过渡带</x:v>
      </x:c>
      <x:c r="F19" s="16" t="str"/>
      <x:c r="G19" s="16" t="str"/>
      <x:c r="H19" s="16" t="str"/>
      <x:c r="I19" s="16" t="str"/>
      <x:c r="J19" s="16" t="str"/>
      <x:c r="K19" s="92"/>
      <x:c r="L19" s="92"/>
      <x:c r="M19" s="92"/>
      <x:c r="N19" s="92"/>
      <x:c r="O19" s="92"/>
      <x:c r="P19" s="92"/>
    </x:row>
    <x:row r="20" ht="32.400001525878906" hidden="0" customHeight="1">
      <x:c r="A20" s="16" t="str">
        <x:v>收入与投资收敛期</x:v>
      </x:c>
      <x:c r="B20" s="16" t="str">
        <x:v>&gt;80%且&lt;115%；115%—125%为过渡</x:v>
      </x:c>
      <x:c r="C20" s="16" t="str">
        <x:v>仅旁证</x:v>
      </x:c>
      <x:c r="D20" s="16" t="str">
        <x:v>—</x:v>
      </x:c>
      <x:c r="E20" s="16" t="str">
        <x:v>收入接近并开始覆盖当年投资；120%阈值两侧各5个百分点为过渡带</x:v>
      </x:c>
      <x:c r="F20" s="16" t="str"/>
      <x:c r="G20" s="16" t="str"/>
      <x:c r="H20" s="16" t="str"/>
      <x:c r="I20" s="16" t="str"/>
      <x:c r="J20" s="16" t="str"/>
      <x:c r="K20" s="92"/>
      <x:c r="L20" s="92"/>
      <x:c r="M20" s="92"/>
      <x:c r="N20" s="92"/>
      <x:c r="O20" s="92"/>
      <x:c r="P20" s="92"/>
    </x:row>
    <x:row r="21" ht="15" hidden="0" customHeight="1">
      <x:c r="A21" s="16" t="str">
        <x:v>收入覆盖与资本回收验证期</x:v>
      </x:c>
      <x:c r="B21" s="16" t="str">
        <x:v>&gt;125%</x:v>
      </x:c>
      <x:c r="C21" s="16" t="str">
        <x:v>仅旁证</x:v>
      </x:c>
      <x:c r="D21" s="16" t="str">
        <x:v>&lt;1倍</x:v>
      </x:c>
      <x:c r="E21" s="16" t="str">
        <x:v>超过125%后，若应用毛利尚不能覆盖AI资产经济折旧，则处于资本回收验证期</x:v>
      </x:c>
      <x:c r="F21" s="16" t="str"/>
      <x:c r="G21" s="16" t="str"/>
      <x:c r="H21" s="16" t="str"/>
      <x:c r="I21" s="16" t="str"/>
      <x:c r="J21" s="16" t="str"/>
      <x:c r="K21" s="92"/>
      <x:c r="L21" s="92"/>
      <x:c r="M21" s="92"/>
      <x:c r="N21" s="92"/>
      <x:c r="O21" s="92"/>
      <x:c r="P21" s="92"/>
    </x:row>
    <x:row r="22" ht="15" hidden="0" customHeight="1">
      <x:c r="A22" s="16" t="str">
        <x:v>规模化回报期</x:v>
      </x:c>
      <x:c r="B22" s="16" t="str">
        <x:v>&gt;125%</x:v>
      </x:c>
      <x:c r="C22" s="16" t="str">
        <x:v>仅旁证</x:v>
      </x:c>
      <x:c r="D22" s="16" t="str">
        <x:v>&gt;=1倍</x:v>
      </x:c>
      <x:c r="E22" s="16" t="str">
        <x:v>超过125%后且应用毛利覆盖AI资产经济折旧；不再要求应用毛利/同年投资达到100%</x:v>
      </x:c>
      <x:c r="F22" s="16" t="str"/>
      <x:c r="G22" s="16" t="str"/>
      <x:c r="H22" s="16" t="str"/>
      <x:c r="I22" s="16" t="str"/>
      <x:c r="J22" s="16" t="str"/>
      <x:c r="K22" s="92"/>
      <x:c r="L22" s="92"/>
      <x:c r="M22" s="92"/>
      <x:c r="N22" s="92"/>
      <x:c r="O22" s="92"/>
      <x:c r="P22" s="92"/>
    </x:row>
  </x:sheetData>
  <x:mergeCells>
    <x:mergeCell ref="A1:J1"/>
    <x:mergeCell ref="A2:J2"/>
    <x:mergeCell ref="A16:J16"/>
    <x:mergeCell ref="E18:J18"/>
    <x:mergeCell ref="E19:J19"/>
    <x:mergeCell ref="E20:J20"/>
    <x:mergeCell ref="E21:J21"/>
    <x:mergeCell ref="E22:J22"/>
  </x:mergeCells>
  <x:pageMargins left="0.7" right="0.7" top="0.75" bottom="0.75" header="0.3" footer="0.3"/>
  <x:drawing xmlns:r="http://schemas.openxmlformats.org/officeDocument/2006/relationships" r:id="R63d2beb6947b4e1f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6" hidden="0" customWidth="1"/>
    <x:col min="3" max="3" width="34" hidden="0" customWidth="1"/>
    <x:col min="4" max="4" width="44" hidden="0" customWidth="1"/>
    <x:col min="5" max="5" width="35" hidden="0" customWidth="1"/>
    <x:col min="6" max="6" width="55" hidden="0" customWidth="1"/>
  </x:cols>
  <x:sheetData>
    <x:row r="1" ht="21.600000381469727" hidden="0" customHeight="1">
      <x:c r="A1" s="3" t="str">
        <x:v>口径映射｜新增证据如何强化原有总量模型</x:v>
      </x:c>
      <x:c r="B1" s="3" t="str">
        <x:v>口径映射｜新增证据如何强化原有总量模型</x:v>
      </x:c>
      <x:c r="C1" s="3" t="str">
        <x:v>口径映射｜新增证据如何强化原有总量模型</x:v>
      </x:c>
      <x:c r="D1" s="3" t="str">
        <x:v>口径映射｜新增证据如何强化原有总量模型</x:v>
      </x:c>
      <x:c r="E1" s="3" t="str">
        <x:v>口径映射｜新增证据如何强化原有总量模型</x:v>
      </x:c>
      <x:c r="F1" s="3" t="str">
        <x:v>口径映射｜新增证据如何强化原有总量模型</x:v>
      </x:c>
    </x:row>
    <x:row r="2" ht="15" hidden="0" customHeight="1">
      <x:c r="A2" s="7" t="str">
        <x:v>附件和机构研究只提供校准锚点；本研究负责统一范围、去重、量纲、预测与联动，不把资料逐项堆叠到总量上。</x:v>
      </x:c>
      <x:c r="B2" s="7" t="str">
        <x:v>附件和机构研究只提供校准锚点；本研究负责统一范围、去重、量纲、预测与联动，不把资料逐项堆叠到总量上。</x:v>
      </x:c>
      <x:c r="C2" s="7" t="str">
        <x:v>附件和机构研究只提供校准锚点；本研究负责统一范围、去重、量纲、预测与联动，不把资料逐项堆叠到总量上。</x:v>
      </x:c>
      <x:c r="D2" s="7" t="str">
        <x:v>附件和机构研究只提供校准锚点；本研究负责统一范围、去重、量纲、预测与联动，不把资料逐项堆叠到总量上。</x:v>
      </x:c>
      <x:c r="E2" s="7" t="str">
        <x:v>附件和机构研究只提供校准锚点；本研究负责统一范围、去重、量纲、预测与联动，不把资料逐项堆叠到总量上。</x:v>
      </x:c>
      <x:c r="F2" s="7" t="str">
        <x:v>附件和机构研究只提供校准锚点；本研究负责统一范围、去重、量纲、预测与联动，不把资料逐项堆叠到总量上。</x:v>
      </x:c>
    </x:row>
    <x:row r="3" ht="15" hidden="0" customHeight="1">
      <x:c r="A3" s="92"/>
      <x:c r="B3" s="92"/>
      <x:c r="C3" s="92"/>
      <x:c r="D3" s="92"/>
      <x:c r="E3" s="92"/>
      <x:c r="F3" s="92"/>
    </x:row>
    <x:row r="4" ht="15" hidden="0" customHeight="1">
      <x:c r="A4" s="12" t="str">
        <x:v>当前回报分类</x:v>
      </x:c>
      <x:c r="B4" s="12" t="str">
        <x:v>新增底层驱动</x:v>
      </x:c>
      <x:c r="C4" s="12" t="str">
        <x:v>计入回报的方式</x:v>
      </x:c>
      <x:c r="D4" s="12" t="str">
        <x:v>去重边界</x:v>
      </x:c>
      <x:c r="E4" s="92"/>
      <x:c r="F4" s="92"/>
    </x:row>
    <x:row r="5" ht="21.600000381469727" hidden="0" customHeight="1">
      <x:c r="A5" s="16" t="str">
        <x:v>模型与API收入</x:v>
      </x:c>
      <x:c r="B5" s="16" t="str">
        <x:v>可计费Token×能力/综合单任务价格修正后的综合实现价格</x:v>
      </x:c>
      <x:c r="C5" s="16" t="str">
        <x:v>全年确认收入</x:v>
      </x:c>
      <x:c r="D5" s="16" t="str">
        <x:v>与云转售及应用API成本去重；开放权重路线份额变化只调整价格与归因，不重复新增收入</x:v>
      </x:c>
      <x:c r="E5" s="92"/>
      <x:c r="F5" s="92"/>
    </x:row>
    <x:row r="6" ht="15" hidden="0" customHeight="1">
      <x:c r="A6" s="16" t="str">
        <x:v>云AI与模型即服务（MaaS）</x:v>
      </x:c>
      <x:c r="B6" s="16" t="str">
        <x:v>训练容量+推理租赁+按量Token+容量预留</x:v>
      </x:c>
      <x:c r="C6" s="16" t="str">
        <x:v>云厂确认收入</x:v>
      </x:c>
      <x:c r="D6" s="16" t="str">
        <x:v>与模型公司、新型云厂商内部转售去重</x:v>
      </x:c>
      <x:c r="E6" s="92"/>
      <x:c r="F6" s="92"/>
    </x:row>
    <x:row r="7" ht="32.400001525878906" hidden="0" customHeight="1">
      <x:c r="A7" s="16" t="str">
        <x:v>Token运营收入到应用收入</x:v>
      </x:c>
      <x:c r="B7" s="16" t="str">
        <x:v>有效Token×可计费比例×[官方Token价格×AA能力/综合单任务价格修正权重×路线份额]×12个月</x:v>
      </x:c>
      <x:c r="C7" s="16" t="str">
        <x:v>作为模型/API与云AI收入的交叉子集</x:v>
      </x:c>
      <x:c r="D7" s="16" t="str">
        <x:v>不另加到六类生态收入；非Token部分包括订阅、训练容量、预留、平台和私有部署托管</x:v>
      </x:c>
      <x:c r="E7" s="92"/>
      <x:c r="F7" s="92"/>
    </x:row>
    <x:row r="8" ht="21.600000381469727" hidden="0" customHeight="1">
      <x:c r="A8" s="16" t="str">
        <x:v>AI原生应用与大厂自有应用</x:v>
      </x:c>
      <x:c r="B8" s="16" t="str">
        <x:v>八类工作场景生产级渗透率×付费席位/任务价值</x:v>
      </x:c>
      <x:c r="C8" s="16" t="str">
        <x:v>订阅、按任务收费及第一方增量</x:v>
      </x:c>
      <x:c r="D8" s="16" t="str">
        <x:v>内部Token不单独计收入</x:v>
      </x:c>
      <x:c r="E8" s="92"/>
      <x:c r="F8" s="92"/>
    </x:row>
    <x:row r="9" ht="15" hidden="0" customHeight="1">
      <x:c r="A9" s="16" t="str">
        <x:v>嵌入式AI增量收入</x:v>
      </x:c>
      <x:c r="B9" s="16" t="str">
        <x:v>留存×重复任务×增量转化率</x:v>
      </x:c>
      <x:c r="C9" s="16" t="str">
        <x:v>广告、搜索、交易和推荐的反事实增量</x:v>
      </x:c>
      <x:c r="D9" s="16" t="str">
        <x:v>不重复计入模型/API或云收入</x:v>
      </x:c>
      <x:c r="E9" s="92"/>
      <x:c r="F9" s="92"/>
    </x:row>
    <x:row r="10" ht="21.600000381469727" hidden="0" customHeight="1">
      <x:c r="A10" s="16" t="str">
        <x:v>企业内部效率净值</x:v>
      </x:c>
      <x:c r="B10" s="16" t="str">
        <x:v>八类成本池权重×场景渗透×可自动化×效率提升×财务兑现−外部AI费用</x:v>
      </x:c>
      <x:c r="C10" s="16" t="str">
        <x:v>只进入广义经济回报</x:v>
      </x:c>
      <x:c r="D10" s="16" t="str">
        <x:v>订阅/API、开源模型云部署、应用席位和外部服务已计入应用收入，须从效率价值中扣除</x:v>
      </x:c>
      <x:c r="E10" s="92"/>
      <x:c r="F10" s="92"/>
    </x:row>
    <x:row r="11" ht="15" hidden="0" customHeight="1">
      <x:c r="A11" s="16" t="str">
        <x:v>工作场景到Token</x:v>
      </x:c>
      <x:c r="B11" s="16" t="str">
        <x:v>场景渗透率×任务循环×上下文×模态强度</x:v>
      </x:c>
      <x:c r="C11" s="16" t="str">
        <x:v>主要联动知识工作智能体与多模态有效Token</x:v>
      </x:c>
      <x:c r="D11" s="16" t="str">
        <x:v>Token运营收入仍只计外部可计费部分</x:v>
      </x:c>
      <x:c r="E11" s="92"/>
      <x:c r="F11" s="92"/>
    </x:row>
    <x:row r="12" ht="21.600000381469727" hidden="0" customHeight="1">
      <x:c r="A12" s="16" t="str">
        <x:v>应用收入情景联动</x:v>
      </x:c>
      <x:c r="B12" s="16" t="str">
        <x:v>Token收入情景系数^类别权重×工作流渗透情景系数^类别权重</x:v>
      </x:c>
      <x:c r="C12" s="16" t="str">
        <x:v>调整2027E以后六类基准收入路径</x:v>
      </x:c>
      <x:c r="D12" s="16" t="str">
        <x:v>两个因素按类别加权混合，不把完整增速直接相乘；工作场景相关Token指数不再另加收入</x:v>
      </x:c>
      <x:c r="E12" s="92"/>
      <x:c r="F12" s="92"/>
    </x:row>
    <x:row r="13" ht="15" hidden="0" customHeight="1">
      <x:c r="A13" s="29" t="str">
        <x:v>机构口径综合与本研究取舍</x:v>
      </x:c>
      <x:c r="B13" s="29" t="str">
        <x:v>机构口径综合与本研究取舍</x:v>
      </x:c>
      <x:c r="C13" s="29" t="str">
        <x:v>机构口径综合与本研究取舍</x:v>
      </x:c>
      <x:c r="D13" s="29" t="str">
        <x:v>机构口径综合与本研究取舍</x:v>
      </x:c>
      <x:c r="E13" s="29" t="str">
        <x:v>机构口径综合与本研究取舍</x:v>
      </x:c>
      <x:c r="F13" s="29" t="str">
        <x:v>机构口径综合与本研究取舍</x:v>
      </x:c>
    </x:row>
    <x:row r="14" ht="15" hidden="0" customHeight="1">
      <x:c r="A14" s="12" t="str">
        <x:v>来源/口径</x:v>
      </x:c>
      <x:c r="B14" s="12" t="str">
        <x:v>2030E锚点</x:v>
      </x:c>
      <x:c r="C14" s="12" t="str">
        <x:v>优势</x:v>
      </x:c>
      <x:c r="D14" s="12" t="str">
        <x:v>局限</x:v>
      </x:c>
      <x:c r="E14" s="12" t="str">
        <x:v>本研究处理</x:v>
      </x:c>
      <x:c r="F14" s="12" t="str">
        <x:v>是否直接加总</x:v>
      </x:c>
    </x:row>
    <x:row r="15" ht="15" hidden="0" customHeight="1">
      <x:c r="A15" s="16" t="str">
        <x:v>高盛全球处理Token</x:v>
      </x:c>
      <x:c r="B15" s="16" t="str">
        <x:v>120千万亿Token/月</x:v>
      </x:c>
      <x:c r="C15" s="16" t="str">
        <x:v>全球范围、适合做处理量下沿</x:v>
      </x:c>
      <x:c r="D15" s="16" t="str">
        <x:v>对智能体循环和多模态强度相对审慎</x:v>
      </x:c>
      <x:c r="E15" s="16" t="str">
        <x:v>作为全球审慎下沿</x:v>
      </x:c>
      <x:c r="F15" s="16" t="str">
        <x:v>否</x:v>
      </x:c>
    </x:row>
    <x:row r="16" ht="15" hidden="0" customHeight="1">
      <x:c r="A16" s="16" t="str">
        <x:v>摩根大通中国有效Token</x:v>
      </x:c>
      <x:c r="B16" s="16" t="str">
        <x:v>322千万亿Token/月</x:v>
      </x:c>
      <x:c r="C16" s="16" t="str">
        <x:v>充分考虑长上下文、智能体循环和多模态</x:v>
      </x:c>
      <x:c r="D16" s="16" t="str">
        <x:v>中国口径且不是全部可计费Token</x:v>
      </x:c>
      <x:c r="E16" s="16" t="str">
        <x:v>用于校准算力等价强度</x:v>
      </x:c>
      <x:c r="F16" s="16" t="str">
        <x:v>否</x:v>
      </x:c>
    </x:row>
    <x:row r="17" ht="15" hidden="0" customHeight="1">
      <x:c r="A17" s="16" t="str">
        <x:v>本研究综合路径</x:v>
      </x:c>
      <x:c r="B17" s="16" t="str">
        <x:v>300千万亿Token/月</x:v>
      </x:c>
      <x:c r="C17" s="16" t="str">
        <x:v>偏向乐观并与应用预测相互校验</x:v>
      </x:c>
      <x:c r="D17" s="16" t="str">
        <x:v>仍高度依赖采用与降本路径</x:v>
      </x:c>
      <x:c r="E17" s="16" t="str">
        <x:v>乘可计费比例、价格和成本后进入收入/毛利</x:v>
      </x:c>
      <x:c r="F17" s="16" t="str">
        <x:v>统一结果</x:v>
      </x:c>
    </x:row>
    <x:row r="18" ht="15" hidden="0" customHeight="1">
      <x:c r="A18" s="16" t="str">
        <x:v>高盛当前任务经济性</x:v>
      </x:c>
      <x:c r="B18" s="16" t="str">
        <x:v>编程4.5%、录入74.6%、语音103.2%</x:v>
      </x:c>
      <x:c r="C18" s="16" t="str">
        <x:v>解释当前经济可行性和采用先后</x:v>
      </x:c>
      <x:c r="D18" s="16" t="str">
        <x:v>不提供2030年采用率，也不是行业加权平均</x:v>
      </x:c>
      <x:c r="E18" s="16" t="str">
        <x:v>只作为八类场景的当前成本边界</x:v>
      </x:c>
      <x:c r="F18" s="16" t="str">
        <x:v>不直接加金额</x:v>
      </x:c>
    </x:row>
    <x:row r="19" ht="21.600000381469727" hidden="0" customHeight="1">
      <x:c r="A19" s="16" t="str">
        <x:v>本研究八类工作场景</x:v>
      </x:c>
      <x:c r="B19" s="16" t="str">
        <x:v>2026E加权17.5% → 2030E基准55.0%</x:v>
      </x:c>
      <x:c r="C19" s="16" t="str">
        <x:v>覆盖研发、客服、文档、研究、营销、销售、语音和高责任工作</x:v>
      </x:c>
      <x:c r="D19" s="16" t="str">
        <x:v>生产级渗透仍是研究预测</x:v>
      </x:c>
      <x:c r="E19" s="16" t="str">
        <x:v>联动知识工作/多模态Token、六类收入和内部效率</x:v>
      </x:c>
      <x:c r="F19" s="16" t="str">
        <x:v>统一进入模型</x:v>
      </x:c>
    </x:row>
    <x:row r="20" ht="15" hidden="0" customHeight="1">
      <x:c r="A20" s="92"/>
      <x:c r="B20" s="92"/>
      <x:c r="C20" s="92"/>
      <x:c r="D20" s="92"/>
      <x:c r="E20" s="92"/>
      <x:c r="F20" s="92"/>
    </x:row>
    <x:row r="21" ht="15" hidden="0" customHeight="1">
      <x:c r="A21" s="29" t="str">
        <x:v>资本回收口径</x:v>
      </x:c>
      <x:c r="B21" s="29" t="str">
        <x:v>资本回收口径</x:v>
      </x:c>
      <x:c r="C21" s="29" t="str">
        <x:v>资本回收口径</x:v>
      </x:c>
      <x:c r="D21" s="29" t="str">
        <x:v>资本回收口径</x:v>
      </x:c>
      <x:c r="E21" s="29" t="str">
        <x:v>资本回收口径</x:v>
      </x:c>
      <x:c r="F21" s="29" t="str">
        <x:v>资本回收口径</x:v>
      </x:c>
    </x:row>
    <x:row r="22" ht="15" hidden="0" customHeight="1">
      <x:c r="A22" s="12" t="str">
        <x:v>指标</x:v>
      </x:c>
      <x:c r="B22" s="12" t="str">
        <x:v>分子</x:v>
      </x:c>
      <x:c r="C22" s="12" t="str">
        <x:v>分母</x:v>
      </x:c>
      <x:c r="D22" s="12" t="str">
        <x:v>用途</x:v>
      </x:c>
      <x:c r="E22" s="12" t="str">
        <x:v>是否会计ROI</x:v>
      </x:c>
      <x:c r="F22" s="12" t="str">
        <x:v>模型位置</x:v>
      </x:c>
    </x:row>
    <x:row r="23" ht="15" hidden="0" customHeight="1">
      <x:c r="A23" s="16" t="str">
        <x:v>收入覆盖率</x:v>
      </x:c>
      <x:c r="B23" s="16" t="str">
        <x:v>AI应用终端收入</x:v>
      </x:c>
      <x:c r="C23" s="16" t="str">
        <x:v>同年净AI投资</x:v>
      </x:c>
      <x:c r="D23" s="16" t="str">
        <x:v>观察产业规模收敛</x:v>
      </x:c>
      <x:c r="E23" s="16" t="str">
        <x:v>否</x:v>
      </x:c>
      <x:c r="F23" s="16" t="str">
        <x:v>总览/资本回收</x:v>
      </x:c>
    </x:row>
    <x:row r="24" ht="15" hidden="0" customHeight="1">
      <x:c r="A24" s="16" t="str">
        <x:v>应用毛利覆盖率</x:v>
      </x:c>
      <x:c r="B24" s="16" t="str">
        <x:v>AI应用毛利</x:v>
      </x:c>
      <x:c r="C24" s="16" t="str">
        <x:v>同年净AI投资</x:v>
      </x:c>
      <x:c r="D24" s="16" t="str">
        <x:v>观察当年资产形成压力</x:v>
      </x:c>
      <x:c r="E24" s="16" t="str">
        <x:v>否</x:v>
      </x:c>
      <x:c r="F24" s="16" t="str">
        <x:v>资本回收</x:v>
      </x:c>
    </x:row>
    <x:row r="25" ht="15" hidden="0" customHeight="1">
      <x:c r="A25" s="16" t="str">
        <x:v>资本回收代理</x:v>
      </x:c>
      <x:c r="B25" s="16" t="str">
        <x:v>AI应用毛利</x:v>
      </x:c>
      <x:c r="C25" s="16" t="str">
        <x:v>AI资产经济折旧</x:v>
      </x:c>
      <x:c r="D25" s="16" t="str">
        <x:v>观察毛利能否覆盖资本消耗</x:v>
      </x:c>
      <x:c r="E25" s="16" t="str">
        <x:v>否，仍缺现金流和资本成本</x:v>
      </x:c>
      <x:c r="F25" s="16" t="str">
        <x:v>总览/资本回收</x:v>
      </x:c>
    </x:row>
    <x:row r="27" ht="15" hidden="0" customHeight="1">
      <x:c r="A27" s="113" t="str">
        <x:v>网页动态六类毛利率与聚合结果（2026E—2030E）</x:v>
      </x:c>
      <x:c r="B27" s="113"/>
      <x:c r="C27" s="113"/>
      <x:c r="D27" s="113"/>
      <x:c r="E27" s="113"/>
      <x:c r="F27" s="113"/>
    </x:row>
    <x:row r="28" ht="15" hidden="0" customHeight="1">
      <x:c r="A28" s="106" t="str">
        <x:v>收入类别</x:v>
      </x:c>
      <x:c r="B28" s="106" t="str">
        <x:v>2026E</x:v>
      </x:c>
      <x:c r="C28" s="106" t="str">
        <x:v>2027E</x:v>
      </x:c>
      <x:c r="D28" s="106" t="str">
        <x:v>2028E</x:v>
      </x:c>
      <x:c r="E28" s="106" t="str">
        <x:v>2029E</x:v>
      </x:c>
      <x:c r="F28" s="106" t="str">
        <x:v>2030E</x:v>
      </x:c>
    </x:row>
    <x:row r="29" ht="15" hidden="0" customHeight="1">
      <x:c r="A29" s="16" t="str">
        <x:v>模型与API收入</x:v>
      </x:c>
      <x:c r="B29" s="42" t="n">
        <x:v>0.38</x:v>
      </x:c>
      <x:c r="C29" s="42" t="n">
        <x:v>0.41</x:v>
      </x:c>
      <x:c r="D29" s="42" t="n">
        <x:v>0.44</x:v>
      </x:c>
      <x:c r="E29" s="42" t="n">
        <x:v>0.47</x:v>
      </x:c>
      <x:c r="F29" s="42" t="n">
        <x:v>0.5</x:v>
      </x:c>
    </x:row>
    <x:row r="30" ht="15" hidden="0" customHeight="1">
      <x:c r="A30" s="16" t="str">
        <x:v>AI原生应用收入</x:v>
      </x:c>
      <x:c r="B30" s="42" t="n">
        <x:v>0.65</x:v>
      </x:c>
      <x:c r="C30" s="42" t="n">
        <x:v>0.67</x:v>
      </x:c>
      <x:c r="D30" s="42" t="n">
        <x:v>0.69</x:v>
      </x:c>
      <x:c r="E30" s="42" t="n">
        <x:v>0.71</x:v>
      </x:c>
      <x:c r="F30" s="42" t="n">
        <x:v>0.73</x:v>
      </x:c>
    </x:row>
    <x:row r="31" ht="15" hidden="0" customHeight="1">
      <x:c r="A31" s="16" t="str">
        <x:v>云AI与模型即服务（MaaS）收入</x:v>
      </x:c>
      <x:c r="B31" s="42" t="n">
        <x:v>0.45</x:v>
      </x:c>
      <x:c r="C31" s="42" t="n">
        <x:v>0.47</x:v>
      </x:c>
      <x:c r="D31" s="42" t="n">
        <x:v>0.49</x:v>
      </x:c>
      <x:c r="E31" s="42" t="n">
        <x:v>0.51</x:v>
      </x:c>
      <x:c r="F31" s="42" t="n">
        <x:v>0.53</x:v>
      </x:c>
    </x:row>
    <x:row r="32" ht="15" hidden="0" customHeight="1">
      <x:c r="A32" s="16" t="str">
        <x:v>大厂自有AI应用收入</x:v>
      </x:c>
      <x:c r="B32" s="42" t="n">
        <x:v>0.7</x:v>
      </x:c>
      <x:c r="C32" s="42" t="n">
        <x:v>0.72</x:v>
      </x:c>
      <x:c r="D32" s="42" t="n">
        <x:v>0.74</x:v>
      </x:c>
      <x:c r="E32" s="42" t="n">
        <x:v>0.76</x:v>
      </x:c>
      <x:c r="F32" s="42" t="n">
        <x:v>0.78</x:v>
      </x:c>
    </x:row>
    <x:row r="33" ht="15" hidden="0" customHeight="1">
      <x:c r="A33" s="16" t="str">
        <x:v>AI服务与行业解决方案收入</x:v>
      </x:c>
      <x:c r="B33" s="42" t="n">
        <x:v>0.32</x:v>
      </x:c>
      <x:c r="C33" s="42" t="n">
        <x:v>0.34</x:v>
      </x:c>
      <x:c r="D33" s="42" t="n">
        <x:v>0.36</x:v>
      </x:c>
      <x:c r="E33" s="42" t="n">
        <x:v>0.38</x:v>
      </x:c>
      <x:c r="F33" s="42" t="n">
        <x:v>0.4</x:v>
      </x:c>
    </x:row>
    <x:row r="34" ht="15" hidden="0" customHeight="1">
      <x:c r="A34" s="16" t="str">
        <x:v>嵌入式AI增量收入</x:v>
      </x:c>
      <x:c r="B34" s="42" t="n">
        <x:v>0.75</x:v>
      </x:c>
      <x:c r="C34" s="42" t="n">
        <x:v>0.77</x:v>
      </x:c>
      <x:c r="D34" s="42" t="n">
        <x:v>0.79</x:v>
      </x:c>
      <x:c r="E34" s="42" t="n">
        <x:v>0.81</x:v>
      </x:c>
      <x:c r="F34" s="42" t="n">
        <x:v>0.83</x:v>
      </x:c>
    </x:row>
    <x:row r="35" ht="15" hidden="0" customHeight="1">
      <x:c r="A35" s="123" t="str">
        <x:v>当前参数聚合加权毛利率</x:v>
      </x:c>
      <x:c r="B35" s="129" t="n">
        <x:f>'AI应用回报'!F73</x:f>
        <x:v>0.5</x:v>
      </x:c>
      <x:c r="C35" s="129" t="n">
        <x:f>'AI应用回报'!G73</x:f>
        <x:v>0.5390966935815701</x:v>
      </x:c>
      <x:c r="D35" s="129" t="n">
        <x:f>'AI应用回报'!H73</x:f>
        <x:v>0.5746192035683532</x:v>
      </x:c>
      <x:c r="E35" s="129" t="n">
        <x:f>'AI应用回报'!I73</x:f>
        <x:v>0.6050766025680274</x:v>
      </x:c>
      <x:c r="F35" s="129" t="n">
        <x:f>'AI应用回报'!J73</x:f>
        <x:v>0.6310374348285742</x:v>
      </x:c>
    </x:row>
    <x:row r="36"/>
    <x:row r="37"/>
    <x:row r="38" ht="15" hidden="0" customHeight="1">
      <x:c r="A38" s="113" t="str">
        <x:v>六类2026E终端计入率基准与动态封顶规则</x:v>
      </x:c>
      <x:c r="B38" s="113"/>
      <x:c r="C38" s="113"/>
      <x:c r="D38" s="113"/>
      <x:c r="E38" s="113"/>
      <x:c r="F38" s="113"/>
    </x:row>
    <x:row r="39" ht="15" hidden="0" customHeight="1">
      <x:c r="A39" s="106" t="str">
        <x:v>收入类别</x:v>
      </x:c>
      <x:c r="B39" s="106" t="str">
        <x:v>2026E类别终端率</x:v>
      </x:c>
      <x:c r="C39" s="106" t="str">
        <x:v>封顶优先顺序</x:v>
      </x:c>
      <x:c r="D39" s="106" t="str">
        <x:v>分配权重</x:v>
      </x:c>
      <x:c r="E39" s="106" t="str">
        <x:v>类别上限</x:v>
      </x:c>
      <x:c r="F39" s="106" t="str">
        <x:v>逐年动态规则</x:v>
      </x:c>
    </x:row>
    <x:row r="40" ht="42" hidden="0" customHeight="1">
      <x:c r="A40" s="16" t="str">
        <x:v>模型与API收入</x:v>
      </x:c>
      <x:c r="B40" s="42" t="n">
        <x:v>0.8877551020408163</x:v>
      </x:c>
      <x:c r="C40" s="61" t="n">
        <x:v>4</x:v>
      </x:c>
      <x:c r="D40" s="16" t="str">
        <x:v>本类生态收入×动态类别终端率</x:v>
      </x:c>
      <x:c r="E40" s="16" t="str">
        <x:v>不超过本类生态收入</x:v>
      </x:c>
      <x:c r="F40" s="16" t="str">
        <x:v>整体目标=生态总收入×逐年终端计入率；6轮waterfill直至剩余额归零</x:v>
      </x:c>
    </x:row>
    <x:row r="41" ht="42" hidden="0" customHeight="1">
      <x:c r="A41" s="16" t="str">
        <x:v>AI原生应用收入</x:v>
      </x:c>
      <x:c r="B41" s="42" t="n">
        <x:v>0.9444444444444444</x:v>
      </x:c>
      <x:c r="C41" s="61" t="n">
        <x:v>2</x:v>
      </x:c>
      <x:c r="D41" s="16" t="str">
        <x:v>本类生态收入×动态类别终端率</x:v>
      </x:c>
      <x:c r="E41" s="16" t="str">
        <x:v>不超过本类生态收入</x:v>
      </x:c>
      <x:c r="F41" s="16" t="str">
        <x:v>整体目标=生态总收入×逐年终端计入率；6轮waterfill直至剩余额归零</x:v>
      </x:c>
    </x:row>
    <x:row r="42" ht="42" hidden="0" customHeight="1">
      <x:c r="A42" s="16" t="str">
        <x:v>云AI与模型即服务（MaaS）收入</x:v>
      </x:c>
      <x:c r="B42" s="42" t="n">
        <x:v>0.5145631067961165</x:v>
      </x:c>
      <x:c r="C42" s="61" t="n">
        <x:v>6</x:v>
      </x:c>
      <x:c r="D42" s="16" t="str">
        <x:v>本类生态收入×动态类别终端率</x:v>
      </x:c>
      <x:c r="E42" s="16" t="str">
        <x:v>不超过本类生态收入</x:v>
      </x:c>
      <x:c r="F42" s="16" t="str">
        <x:v>整体目标=生态总收入×逐年终端计入率；6轮waterfill直至剩余额归零</x:v>
      </x:c>
    </x:row>
    <x:row r="43" ht="42" hidden="0" customHeight="1">
      <x:c r="A43" s="16" t="str">
        <x:v>大厂自有AI应用收入</x:v>
      </x:c>
      <x:c r="B43" s="42" t="n">
        <x:v>0.9666666666666667</x:v>
      </x:c>
      <x:c r="C43" s="61" t="n">
        <x:v>1</x:v>
      </x:c>
      <x:c r="D43" s="16" t="str">
        <x:v>本类生态收入×动态类别终端率</x:v>
      </x:c>
      <x:c r="E43" s="16" t="str">
        <x:v>不超过本类生态收入</x:v>
      </x:c>
      <x:c r="F43" s="16" t="str">
        <x:v>整体目标=生态总收入×逐年终端计入率；6轮waterfill直至剩余额归零</x:v>
      </x:c>
    </x:row>
    <x:row r="44" ht="42" hidden="0" customHeight="1">
      <x:c r="A44" s="16" t="str">
        <x:v>AI服务与行业解决方案收入</x:v>
      </x:c>
      <x:c r="B44" s="42" t="n">
        <x:v>0.8441558441558441</x:v>
      </x:c>
      <x:c r="C44" s="61" t="n">
        <x:v>5</x:v>
      </x:c>
      <x:c r="D44" s="16" t="str">
        <x:v>本类生态收入×动态类别终端率</x:v>
      </x:c>
      <x:c r="E44" s="16" t="str">
        <x:v>不超过本类生态收入</x:v>
      </x:c>
      <x:c r="F44" s="16" t="str">
        <x:v>整体目标=生态总收入×逐年终端计入率；6轮waterfill直至剩余额归零</x:v>
      </x:c>
    </x:row>
    <x:row r="45" ht="42" hidden="0" customHeight="1">
      <x:c r="A45" s="16" t="str">
        <x:v>嵌入式AI增量收入</x:v>
      </x:c>
      <x:c r="B45" s="42" t="n">
        <x:v>0.9411764705882353</x:v>
      </x:c>
      <x:c r="C45" s="61" t="n">
        <x:v>3</x:v>
      </x:c>
      <x:c r="D45" s="16" t="str">
        <x:v>本类生态收入×动态类别终端率</x:v>
      </x:c>
      <x:c r="E45" s="16" t="str">
        <x:v>不超过本类生态收入</x:v>
      </x:c>
      <x:c r="F45" s="16" t="str">
        <x:v>整体目标=生态总收入×逐年终端计入率；6轮waterfill直至剩余额归零</x:v>
      </x:c>
    </x:row>
  </x:sheetData>
  <x:mergeCells>
    <x:mergeCell ref="A1:F1"/>
    <x:mergeCell ref="A2:F2"/>
    <x:mergeCell ref="A13:F13"/>
    <x:mergeCell ref="A21:F21"/>
    <x:mergeCell ref="A27:F27"/>
    <x:mergeCell ref="A38:F38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15" hidden="0" customWidth="1"/>
    <x:col min="3" max="3" width="24" hidden="0" customWidth="1"/>
    <x:col min="4" max="4" width="13" hidden="0" customWidth="1"/>
    <x:col min="5" max="5" width="18" hidden="0" customWidth="1"/>
    <x:col min="6" max="6" width="28" hidden="0" customWidth="1"/>
    <x:col min="7" max="7" width="22" hidden="0" customWidth="1"/>
    <x:col min="8" max="8" width="18" hidden="0" customWidth="1"/>
    <x:col min="9" max="9" width="17" hidden="0" customWidth="1"/>
    <x:col min="10" max="10" width="11" hidden="0" customWidth="1"/>
    <x:col min="11" max="11" width="20" hidden="0" customWidth="1"/>
    <x:col min="12" max="12" width="62" hidden="0" customWidth="1"/>
    <x:col min="13" max="13" width="58" hidden="0" customWidth="1"/>
  </x:cols>
  <x:sheetData>
    <x:row r="1" ht="21.600000381469727" hidden="0" customHeight="1">
      <x:c r="A1" s="3" t="str">
        <x:v>证据库｜原始来源、同源去重与研究备注</x:v>
      </x:c>
      <x:c r="B1" s="3" t="str">
        <x:v>证据库｜原始来源、同源去重与研究备注</x:v>
      </x:c>
      <x:c r="C1" s="3" t="str">
        <x:v>证据库｜原始来源、同源去重与研究备注</x:v>
      </x:c>
      <x:c r="D1" s="3" t="str">
        <x:v>证据库｜原始来源、同源去重与研究备注</x:v>
      </x:c>
      <x:c r="E1" s="3" t="str">
        <x:v>证据库｜原始来源、同源去重与研究备注</x:v>
      </x:c>
      <x:c r="F1" s="3" t="str">
        <x:v>证据库｜原始来源、同源去重与研究备注</x:v>
      </x:c>
      <x:c r="G1" s="3" t="str">
        <x:v>证据库｜原始来源、同源去重与研究备注</x:v>
      </x:c>
      <x:c r="H1" s="3" t="str">
        <x:v>证据库｜原始来源、同源去重与研究备注</x:v>
      </x:c>
      <x:c r="I1" s="3" t="str">
        <x:v>证据库｜原始来源、同源去重与研究备注</x:v>
      </x:c>
      <x:c r="J1" s="3" t="str">
        <x:v>证据库｜原始来源、同源去重与研究备注</x:v>
      </x:c>
      <x:c r="K1" s="3" t="str">
        <x:v>证据库｜原始来源、同源去重与研究备注</x:v>
      </x:c>
      <x:c r="L1" s="3" t="str">
        <x:v>证据库｜原始来源、同源去重与研究备注</x:v>
      </x:c>
      <x:c r="M1" s="3" t="str">
        <x:v>证据库｜原始来源、同源去重与研究备注</x:v>
      </x:c>
    </x:row>
    <x:row r="2" ht="15" hidden="0" customHeight="1">
      <x:c r="A2" s="7" t="str">
        <x:v>保留原始披露、研究锚点和本地附件路径；重复源根ID相同的证据不作为独立验证。</x:v>
      </x:c>
      <x:c r="B2" s="7" t="str">
        <x:v>保留原始披露、研究锚点和本地附件路径；重复源根ID相同的证据不作为独立验证。</x:v>
      </x:c>
      <x:c r="C2" s="7" t="str">
        <x:v>保留原始披露、研究锚点和本地附件路径；重复源根ID相同的证据不作为独立验证。</x:v>
      </x:c>
      <x:c r="D2" s="7" t="str">
        <x:v>保留原始披露、研究锚点和本地附件路径；重复源根ID相同的证据不作为独立验证。</x:v>
      </x:c>
      <x:c r="E2" s="7" t="str">
        <x:v>保留原始披露、研究锚点和本地附件路径；重复源根ID相同的证据不作为独立验证。</x:v>
      </x:c>
      <x:c r="F2" s="7" t="str">
        <x:v>保留原始披露、研究锚点和本地附件路径；重复源根ID相同的证据不作为独立验证。</x:v>
      </x:c>
      <x:c r="G2" s="7" t="str">
        <x:v>保留原始披露、研究锚点和本地附件路径；重复源根ID相同的证据不作为独立验证。</x:v>
      </x:c>
      <x:c r="H2" s="7" t="str">
        <x:v>保留原始披露、研究锚点和本地附件路径；重复源根ID相同的证据不作为独立验证。</x:v>
      </x:c>
      <x:c r="I2" s="7" t="str">
        <x:v>保留原始披露、研究锚点和本地附件路径；重复源根ID相同的证据不作为独立验证。</x:v>
      </x:c>
      <x:c r="J2" s="7" t="str">
        <x:v>保留原始披露、研究锚点和本地附件路径；重复源根ID相同的证据不作为独立验证。</x:v>
      </x:c>
      <x:c r="K2" s="7" t="str">
        <x:v>保留原始披露、研究锚点和本地附件路径；重复源根ID相同的证据不作为独立验证。</x:v>
      </x:c>
      <x:c r="L2" s="7" t="str">
        <x:v>保留原始披露、研究锚点和本地附件路径；重复源根ID相同的证据不作为独立验证。</x:v>
      </x:c>
      <x:c r="M2" s="7" t="str">
        <x:v>保留原始披露、研究锚点和本地附件路径；重复源根ID相同的证据不作为独立验证。</x:v>
      </x:c>
    </x:row>
    <x:row r="3" ht="15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  <x:c r="K3" s="92"/>
      <x:c r="L3" s="92"/>
      <x:c r="M3" s="92"/>
    </x:row>
    <x:row r="4" ht="15" hidden="0" customHeight="1">
      <x:c r="A4" s="12" t="str">
        <x:v>证据ID</x:v>
      </x:c>
      <x:c r="B4" s="12" t="str">
        <x:v>主题</x:v>
      </x:c>
      <x:c r="C4" s="12" t="str">
        <x:v>主体</x:v>
      </x:c>
      <x:c r="D4" s="12" t="str">
        <x:v>披露日期</x:v>
      </x:c>
      <x:c r="E4" s="12" t="str">
        <x:v>对应期间</x:v>
      </x:c>
      <x:c r="F4" s="12" t="str">
        <x:v>指标</x:v>
      </x:c>
      <x:c r="G4" s="12" t="str">
        <x:v>值</x:v>
      </x:c>
      <x:c r="H4" s="12" t="str">
        <x:v>单位</x:v>
      </x:c>
      <x:c r="I4" s="12" t="str">
        <x:v>来源类型</x:v>
      </x:c>
      <x:c r="J4" s="12" t="str">
        <x:v>可信度</x:v>
      </x:c>
      <x:c r="K4" s="12" t="str">
        <x:v>重复源根ID</x:v>
      </x:c>
      <x:c r="L4" s="12" t="str">
        <x:v>URL/本地路径</x:v>
      </x:c>
      <x:c r="M4" s="12" t="str">
        <x:v>口径备注</x:v>
      </x:c>
    </x:row>
    <x:row r="5" ht="15" hidden="0" customHeight="1">
      <x:c r="A5" s="72" t="str">
        <x:v>S01</x:v>
      </x:c>
      <x:c r="B5" s="16" t="str">
        <x:v>基建</x:v>
      </x:c>
      <x:c r="C5" s="16" t="str">
        <x:v>Alphabet</x:v>
      </x:c>
      <x:c r="D5" s="16" t="str">
        <x:v>2026-07</x:v>
      </x:c>
      <x:c r="E5" s="16" t="str">
        <x:v>CY2026</x:v>
      </x:c>
      <x:c r="F5" s="16" t="str">
        <x:v>CapEx指引</x:v>
      </x:c>
      <x:c r="G5" s="16" t="str">
        <x:v>1,950-2,050</x:v>
      </x:c>
      <x:c r="H5" s="16" t="str">
        <x:v>亿美元</x:v>
      </x:c>
      <x:c r="I5" s="16" t="str">
        <x:v>官方</x:v>
      </x:c>
      <x:c r="J5" s="16" t="str">
        <x:v>高</x:v>
      </x:c>
      <x:c r="K5" s="73" t="str">
        <x:v>G-ALPH-Q2-26</x:v>
      </x:c>
      <x:c r="L5" s="74" t="str">
        <x:v>https://abc.xyz/investor/</x:v>
      </x:c>
      <x:c r="M5" s="16" t="str">
        <x:v>2026Q2官方材料；约60%服务器，40%DC/网络</x:v>
      </x:c>
    </x:row>
    <x:row r="6" ht="21.600000381469727" hidden="0" customHeight="1">
      <x:c r="A6" s="72" t="str">
        <x:v>S02</x:v>
      </x:c>
      <x:c r="B6" s="16" t="str">
        <x:v>基建</x:v>
      </x:c>
      <x:c r="C6" s="16" t="str">
        <x:v>Microsoft</x:v>
      </x:c>
      <x:c r="D6" s="16" t="str">
        <x:v>2026-04/07</x:v>
      </x:c>
      <x:c r="E6" s="16" t="str">
        <x:v>CY2026</x:v>
      </x:c>
      <x:c r="F6" s="16" t="str">
        <x:v>CapEx经济口径</x:v>
      </x:c>
      <x:c r="G6" s="16" t="str">
        <x:v>1,750-1,900</x:v>
      </x:c>
      <x:c r="H6" s="16" t="str">
        <x:v>亿美元</x:v>
      </x:c>
      <x:c r="I6" s="16" t="str">
        <x:v>官方+会计桥</x:v>
      </x:c>
      <x:c r="J6" s="16" t="str">
        <x:v>中高</x:v>
      </x:c>
      <x:c r="K6" s="73" t="str">
        <x:v>G-MS-CY26</x:v>
      </x:c>
      <x:c r="L6" s="74" t="str">
        <x:v>https://www.microsoft.com/en-us/Investor/earnings/FY-2026-Q4/press-release-webcast</x:v>
      </x:c>
      <x:c r="M6" s="16" t="str">
        <x:v>Q3口径约190；Q4因未来数据中心租赁分类更新，报表资本开支口径约175；模型用190作为含租赁资产的经济可比基准</x:v>
      </x:c>
    </x:row>
    <x:row r="7" ht="15" hidden="0" customHeight="1">
      <x:c r="A7" s="72" t="str">
        <x:v>S03</x:v>
      </x:c>
      <x:c r="B7" s="16" t="str">
        <x:v>基建/云</x:v>
      </x:c>
      <x:c r="C7" s="16" t="str">
        <x:v>Amazon</x:v>
      </x:c>
      <x:c r="D7" s="16" t="str">
        <x:v>2026-07</x:v>
      </x:c>
      <x:c r="E7" s="16" t="str">
        <x:v>CY2026/Q2</x:v>
      </x:c>
      <x:c r="F7" s="16" t="str">
        <x:v>CapEx指引/AWS收入</x:v>
      </x:c>
      <x:c r="G7" s="16" t="str">
        <x:v>2,200 / 422</x:v>
      </x:c>
      <x:c r="H7" s="16" t="str">
        <x:v>亿美元</x:v>
      </x:c>
      <x:c r="I7" s="16" t="str">
        <x:v>官方</x:v>
      </x:c>
      <x:c r="J7" s="16" t="str">
        <x:v>高</x:v>
      </x:c>
      <x:c r="K7" s="73" t="str">
        <x:v>G-AMZN-Q2-26</x:v>
      </x:c>
      <x:c r="L7" s="74" t="str">
        <x:v>https://www.aboutamazon.com/news/company-news/amazon-earnings-q2-2026-report</x:v>
      </x:c>
      <x:c r="M7" s="16" t="str">
        <x:v>AWS Q2 +37%；AI业务ARR&gt;25</x:v>
      </x:c>
    </x:row>
    <x:row r="8" ht="21.600000381469727" hidden="0" customHeight="1">
      <x:c r="A8" s="72" t="str">
        <x:v>S04</x:v>
      </x:c>
      <x:c r="B8" s="16" t="str">
        <x:v>基建</x:v>
      </x:c>
      <x:c r="C8" s="16" t="str">
        <x:v>Meta</x:v>
      </x:c>
      <x:c r="D8" s="16" t="str">
        <x:v>2026-07</x:v>
      </x:c>
      <x:c r="E8" s="16" t="str">
        <x:v>CY2026/Q2</x:v>
      </x:c>
      <x:c r="F8" s="16" t="str">
        <x:v>CapEx指引/Q2实际</x:v>
      </x:c>
      <x:c r="G8" s="16" t="str">
        <x:v>1,300-1,450 / 310.8</x:v>
      </x:c>
      <x:c r="H8" s="16" t="str">
        <x:v>亿美元</x:v>
      </x:c>
      <x:c r="I8" s="16" t="str">
        <x:v>官方</x:v>
      </x:c>
      <x:c r="J8" s="16" t="str">
        <x:v>高</x:v>
      </x:c>
      <x:c r="K8" s="73" t="str">
        <x:v>G-META-Q2-26</x:v>
      </x:c>
      <x:c r="L8" s="74" t="str">
        <x:v>https://investor.atmeta.com/investor-news/press-release-details/2026/Meta-Reports-Second-Quarter-2026-Results/default.aspx</x:v>
      </x:c>
      <x:c r="M8" s="16" t="str">
        <x:v>含融资租赁本金</x:v>
      </x:c>
    </x:row>
    <x:row r="9" ht="21.600000381469727" hidden="0" customHeight="1">
      <x:c r="A9" s="72" t="str">
        <x:v>S05</x:v>
      </x:c>
      <x:c r="B9" s="16" t="str">
        <x:v>基建/云</x:v>
      </x:c>
      <x:c r="C9" s="16" t="str">
        <x:v>Oracle</x:v>
      </x:c>
      <x:c r="D9" s="16" t="str">
        <x:v>2026-06</x:v>
      </x:c>
      <x:c r="E9" s="16" t="str">
        <x:v>FY2026/FY2027</x:v>
      </x:c>
      <x:c r="F9" s="16" t="str">
        <x:v>FY2026资本开支/FY2027净现金资本开支/RPO/OCI收入</x:v>
      </x:c>
      <x:c r="G9" s="16" t="str">
        <x:v>557 / 700 / 6,380 / 58</x:v>
      </x:c>
      <x:c r="H9" s="16" t="str">
        <x:v>亿美元</x:v>
      </x:c>
      <x:c r="I9" s="16" t="str">
        <x:v>官方</x:v>
      </x:c>
      <x:c r="J9" s="16" t="str">
        <x:v>高</x:v>
      </x:c>
      <x:c r="K9" s="73" t="str">
        <x:v>G-ORCL-FY26</x:v>
      </x:c>
      <x:c r="L9" s="74" t="str">
        <x:v>https://investor.oracle.com/investor-news/news-details/2026/Oracle-Announces-Record-Q4-and-FY-2026-Results-Driven-by-Cloud-Infrastructure--Cloud-Applications/</x:v>
      </x:c>
      <x:c r="M9" s="16" t="str">
        <x:v>自然年2026E按5/12×55.7 + 7/12×70拼接，约640亿美元</x:v>
      </x:c>
    </x:row>
    <x:row r="10" ht="15" hidden="0" customHeight="1">
      <x:c r="A10" s="72" t="str">
        <x:v>S06</x:v>
      </x:c>
      <x:c r="B10" s="16" t="str">
        <x:v>基建/云</x:v>
      </x:c>
      <x:c r="C10" s="16" t="str">
        <x:v>CoreWeave</x:v>
      </x:c>
      <x:c r="D10" s="16" t="str">
        <x:v>2026-08</x:v>
      </x:c>
      <x:c r="E10" s="16" t="str">
        <x:v>CY2026Q2</x:v>
      </x:c>
      <x:c r="F10" s="16" t="str">
        <x:v>收入指引/CapEx/backlog</x:v>
      </x:c>
      <x:c r="G10" s="16" t="str">
        <x:v>124-132 / 350-390 / 1,042</x:v>
      </x:c>
      <x:c r="H10" s="16" t="str">
        <x:v>亿美元</x:v>
      </x:c>
      <x:c r="I10" s="16" t="str">
        <x:v>官方</x:v>
      </x:c>
      <x:c r="J10" s="16" t="str">
        <x:v>高</x:v>
      </x:c>
      <x:c r="K10" s="73" t="str">
        <x:v>G-CRWV-Q2-26</x:v>
      </x:c>
      <x:c r="L10" s="74" t="str">
        <x:v>https://investors.coreweave.com/financials/quarterly-results/default.aspx</x:v>
      </x:c>
      <x:c r="M10" s="16" t="str">
        <x:v>高客户集中，backlog不能当收入</x:v>
      </x:c>
    </x:row>
    <x:row r="11" ht="21.600000381469727" hidden="0" customHeight="1">
      <x:c r="A11" s="72" t="str">
        <x:v>S07</x:v>
      </x:c>
      <x:c r="B11" s="16" t="str">
        <x:v>基建/云</x:v>
      </x:c>
      <x:c r="C11" s="16" t="str">
        <x:v>Nebius</x:v>
      </x:c>
      <x:c r="D11" s="16" t="str">
        <x:v>2026-08</x:v>
      </x:c>
      <x:c r="E11" s="16" t="str">
        <x:v>CY2026Q2</x:v>
      </x:c>
      <x:c r="F11" s="16" t="str">
        <x:v>AI Cloud收入/ARR/CapEx/客户承诺/预付款</x:v>
      </x:c>
      <x:c r="G11" s="16" t="str">
        <x:v>5.75 / 30 / 56.57 / &gt;400 / &gt;90</x:v>
      </x:c>
      <x:c r="H11" s="16" t="str">
        <x:v>亿美元 / 亿美元 / 亿美元 / 亿美元 / 亿美元</x:v>
      </x:c>
      <x:c r="I11" s="16" t="str">
        <x:v>官方</x:v>
      </x:c>
      <x:c r="J11" s="16" t="str">
        <x:v>高</x:v>
      </x:c>
      <x:c r="K11" s="73" t="str">
        <x:v>G-NBIS-Q2-26</x:v>
      </x:c>
      <x:c r="L11" s="74" t="str">
        <x:v>https://nebius.com/financials</x:v>
      </x:c>
      <x:c r="M11" s="16" t="str">
        <x:v>Q2 CapEx；H1约8.13，客户承诺&gt;40，客户预付款&gt;9；二者均不同于标准RPO</x:v>
      </x:c>
    </x:row>
    <x:row r="12" ht="21.600000381469727" hidden="0" customHeight="1">
      <x:c r="A12" s="72" t="str">
        <x:v>S08</x:v>
      </x:c>
      <x:c r="B12" s="16" t="str">
        <x:v>基建</x:v>
      </x:c>
      <x:c r="C12" s="16" t="str">
        <x:v>IREN</x:v>
      </x:c>
      <x:c r="D12" s="16" t="str">
        <x:v>2026-07</x:v>
      </x:c>
      <x:c r="E12" s="16" t="str">
        <x:v>CY2026E</x:v>
      </x:c>
      <x:c r="F12" s="16" t="str">
        <x:v>ARR目标/签约</x:v>
      </x:c>
      <x:c r="G12" s="16" t="str">
        <x:v>&gt;40 / 85%</x:v>
      </x:c>
      <x:c r="H12" s="16" t="str">
        <x:v>亿美元/%</x:v>
      </x:c>
      <x:c r="I12" s="16" t="str">
        <x:v>官方</x:v>
      </x:c>
      <x:c r="J12" s="16" t="str">
        <x:v>中高</x:v>
      </x:c>
      <x:c r="K12" s="73" t="str">
        <x:v>G-IREN-26</x:v>
      </x:c>
      <x:c r="L12" s="74" t="str">
        <x:v>https://iren.gcs-web.com/news-releases/news-release-details/iren-business-update-and-q3-fy26-results</x:v>
      </x:c>
      <x:c r="M12" s="16" t="str">
        <x:v>480MW目标；CapEx为研究估计</x:v>
      </x:c>
    </x:row>
    <x:row r="13" ht="21.600000381469727" hidden="0" customHeight="1">
      <x:c r="A13" s="72" t="str">
        <x:v>S09</x:v>
      </x:c>
      <x:c r="B13" s="16" t="str">
        <x:v>基建</x:v>
      </x:c>
      <x:c r="C13" s="16" t="str">
        <x:v>Crusoe</x:v>
      </x:c>
      <x:c r="D13" s="16" t="str">
        <x:v>2026</x:v>
      </x:c>
      <x:c r="E13" s="16" t="str">
        <x:v>规划</x:v>
      </x:c>
      <x:c r="F13" s="16" t="str">
        <x:v>签约AI容量</x:v>
      </x:c>
      <x:c r="G13" s="16" t="str">
        <x:v>4.9</x:v>
      </x:c>
      <x:c r="H13" s="16" t="str">
        <x:v>GW</x:v>
      </x:c>
      <x:c r="I13" s="16" t="str">
        <x:v>官方</x:v>
      </x:c>
      <x:c r="J13" s="16" t="str">
        <x:v>高</x:v>
      </x:c>
      <x:c r="K13" s="73" t="str">
        <x:v>G-CRUSOE-CAP</x:v>
      </x:c>
      <x:c r="L13" s="74" t="str">
        <x:v>https://www.crusoe.ai/resources/newsroom/crusoes-contracted-ai-infrastructure-capacity-approaches-5-gigawatts-across-data-centers-and-cloud</x:v>
      </x:c>
      <x:c r="M13" s="16" t="str">
        <x:v>容量可信，年度CapEx未披露</x:v>
      </x:c>
    </x:row>
    <x:row r="14" ht="21.600000381469727" hidden="0" customHeight="1">
      <x:c r="A14" s="72" t="str">
        <x:v>S10</x:v>
      </x:c>
      <x:c r="B14" s="16" t="str">
        <x:v>基建</x:v>
      </x:c>
      <x:c r="C14" s="16" t="str">
        <x:v>其他Neocloud</x:v>
      </x:c>
      <x:c r="D14" s="16" t="str">
        <x:v>2026</x:v>
      </x:c>
      <x:c r="E14" s="16" t="str">
        <x:v>CY2026E</x:v>
      </x:c>
      <x:c r="F14" s="16" t="str">
        <x:v>资产端CapEx</x:v>
      </x:c>
      <x:c r="G14" s="16" t="str">
        <x:v>120</x:v>
      </x:c>
      <x:c r="H14" s="16" t="str">
        <x:v>亿美元</x:v>
      </x:c>
      <x:c r="I14" s="16" t="str">
        <x:v>研究估计</x:v>
      </x:c>
      <x:c r="J14" s="16" t="str">
        <x:v>低</x:v>
      </x:c>
      <x:c r="K14" s="73" t="str">
        <x:v>G-OTHER-NEO</x:v>
      </x:c>
      <x:c r="L14" s="74" t="str">
        <x:v>https://www.crusoe.ai/resources/newsroom/crusoes-contracted-ai-infrastructure-capacity-approaches-5-gigawatts-across-data-centers-and-cloud</x:v>
      </x:c>
      <x:c r="M14" s="16" t="str">
        <x:v>Lambda/Fluidstack/Vultr等，避免算力转售重复</x:v>
      </x:c>
    </x:row>
    <x:row r="15" ht="15" hidden="0" customHeight="1">
      <x:c r="A15" s="72" t="str">
        <x:v>S11</x:v>
      </x:c>
      <x:c r="B15" s="16" t="str">
        <x:v>基建/云</x:v>
      </x:c>
      <x:c r="C15" s="16" t="str">
        <x:v>Alibaba</x:v>
      </x:c>
      <x:c r="D15" s="16" t="str">
        <x:v>2026-05</x:v>
      </x:c>
      <x:c r="E15" s="16" t="str">
        <x:v>FY2026Q4/三年</x:v>
      </x:c>
      <x:c r="F15" s="16" t="str">
        <x:v>Cloud收入/三年投资/AI ARR</x:v>
      </x:c>
      <x:c r="G15" s="16" t="str">
        <x:v>416.26 / &gt;=3,800 / 100→300</x:v>
      </x:c>
      <x:c r="H15" s="16" t="str">
        <x:v>亿元</x:v>
      </x:c>
      <x:c r="I15" s="16" t="str">
        <x:v>官方</x:v>
      </x:c>
      <x:c r="J15" s="16" t="str">
        <x:v>高</x:v>
      </x:c>
      <x:c r="K15" s="73" t="str">
        <x:v>G-BABA-FY26</x:v>
      </x:c>
      <x:c r="L15" s="74" t="str">
        <x:v>https://home.alibabagroup.com/en-US/document-1991237455038119936</x:v>
      </x:c>
      <x:c r="M15" s="16" t="str">
        <x:v>Cloud收入+38%；外部AI产品收入约占外部云30%</x:v>
      </x:c>
    </x:row>
    <x:row r="16" ht="15" hidden="0" customHeight="1">
      <x:c r="A16" s="72" t="str">
        <x:v>S12</x:v>
      </x:c>
      <x:c r="B16" s="16" t="str">
        <x:v>基建</x:v>
      </x:c>
      <x:c r="C16" s="16" t="str">
        <x:v>Tencent</x:v>
      </x:c>
      <x:c r="D16" s="16" t="str">
        <x:v>2026-08</x:v>
      </x:c>
      <x:c r="E16" s="16" t="str">
        <x:v>CY2026Q2/H1</x:v>
      </x:c>
      <x:c r="F16" s="16" t="str">
        <x:v>Q2 CapEx/H1外推</x:v>
      </x:c>
      <x:c r="G16" s="16" t="str">
        <x:v>528 / 848</x:v>
      </x:c>
      <x:c r="H16" s="16" t="str">
        <x:v>亿元</x:v>
      </x:c>
      <x:c r="I16" s="16" t="str">
        <x:v>官方</x:v>
      </x:c>
      <x:c r="J16" s="16" t="str">
        <x:v>高</x:v>
      </x:c>
      <x:c r="K16" s="73" t="str">
        <x:v>G-TCEHY-Q2-26</x:v>
      </x:c>
      <x:c r="L16" s="74" t="str">
        <x:v>https://www.tencent.com/en-us/investors.html</x:v>
      </x:c>
      <x:c r="M16" s="16" t="str">
        <x:v>Q2 +176% YoY；纯云收入不单列</x:v>
      </x:c>
    </x:row>
    <x:row r="17" ht="21.600000381469727" hidden="0" customHeight="1">
      <x:c r="A17" s="72" t="str">
        <x:v>S13</x:v>
      </x:c>
      <x:c r="B17" s="16" t="str">
        <x:v>基建</x:v>
      </x:c>
      <x:c r="C17" s="16" t="str">
        <x:v>ByteDance</x:v>
      </x:c>
      <x:c r="D17" s="16" t="str">
        <x:v>2026</x:v>
      </x:c>
      <x:c r="E17" s="16" t="str">
        <x:v>CY2026E</x:v>
      </x:c>
      <x:c r="F17" s="16" t="str">
        <x:v>CapEx计划</x:v>
      </x:c>
      <x:c r="G17" s="16" t="str">
        <x:v>&gt;=2,000</x:v>
      </x:c>
      <x:c r="H17" s="16" t="str">
        <x:v>亿元</x:v>
      </x:c>
      <x:c r="I17" s="16" t="str">
        <x:v>媒体/供应链</x:v>
      </x:c>
      <x:c r="J17" s="16" t="str">
        <x:v>中低</x:v>
      </x:c>
      <x:c r="K17" s="73" t="str">
        <x:v>G-BYTE-26</x:v>
      </x:c>
      <x:c r="L17" s="74" t="str">
        <x:v>https://www.scmp.com/tech/article/3352906/bytedance-raises-2026-capex-least-25-amid-ai-boom-rising-memory-costs-sources-say</x:v>
      </x:c>
      <x:c r="M17" s="16" t="str">
        <x:v>未上市，报道区间大，Base取至少200</x:v>
      </x:c>
    </x:row>
    <x:row r="18" ht="15" hidden="0" customHeight="1">
      <x:c r="A18" s="72" t="str">
        <x:v>S14</x:v>
      </x:c>
      <x:c r="B18" s="16" t="str">
        <x:v>云</x:v>
      </x:c>
      <x:c r="C18" s="16" t="str">
        <x:v>Baidu</x:v>
      </x:c>
      <x:c r="D18" s="16" t="str">
        <x:v>2026-05</x:v>
      </x:c>
      <x:c r="E18" s="16" t="str">
        <x:v>CY2026Q1</x:v>
      </x:c>
      <x:c r="F18" s="16" t="str">
        <x:v>AI Cloud Infrastructure收入</x:v>
      </x:c>
      <x:c r="G18" s="16" t="str">
        <x:v>88</x:v>
      </x:c>
      <x:c r="H18" s="16" t="str">
        <x:v>亿元</x:v>
      </x:c>
      <x:c r="I18" s="16" t="str">
        <x:v>官方</x:v>
      </x:c>
      <x:c r="J18" s="16" t="str">
        <x:v>高</x:v>
      </x:c>
      <x:c r="K18" s="73" t="str">
        <x:v>G-BIDU-Q1-26</x:v>
      </x:c>
      <x:c r="L18" s="74" t="str">
        <x:v>https://ir.baidu.com/news-releases/news-release-details/baidu-announces-first-quarter-2026-results/</x:v>
      </x:c>
      <x:c r="M18" s="16" t="str">
        <x:v>+79% YoY</x:v>
      </x:c>
    </x:row>
    <x:row r="19" ht="15" hidden="0" customHeight="1">
      <x:c r="A19" s="72" t="str">
        <x:v>S15</x:v>
      </x:c>
      <x:c r="B19" s="16" t="str">
        <x:v>基建</x:v>
      </x:c>
      <x:c r="C19" s="16" t="str">
        <x:v>中国运营商/政府</x:v>
      </x:c>
      <x:c r="D19" s="16" t="str">
        <x:v>2026</x:v>
      </x:c>
      <x:c r="E19" s="16" t="str">
        <x:v>CY2026E</x:v>
      </x:c>
      <x:c r="F19" s="16" t="str">
        <x:v>AI基础设施</x:v>
      </x:c>
      <x:c r="G19" s="16" t="str">
        <x:v>2,500</x:v>
      </x:c>
      <x:c r="H19" s="16" t="str">
        <x:v>亿元</x:v>
      </x:c>
      <x:c r="I19" s="16" t="str">
        <x:v>研究估计</x:v>
      </x:c>
      <x:c r="J19" s="16" t="str">
        <x:v>低</x:v>
      </x:c>
      <x:c r="K19" s="73" t="str">
        <x:v>G-CN-SOV</x:v>
      </x:c>
      <x:c r="L19" s="74" t="str">
        <x:v>https://www.gov.cn/</x:v>
      </x:c>
      <x:c r="M19" s="16" t="str">
        <x:v>智算中心、运营商、自主算力，需项目级持续更新</x:v>
      </x:c>
    </x:row>
    <x:row r="20" ht="15" hidden="0" customHeight="1">
      <x:c r="A20" s="72" t="str">
        <x:v>S16</x:v>
      </x:c>
      <x:c r="B20" s="16" t="str">
        <x:v>基建</x:v>
      </x:c>
      <x:c r="C20" s="16" t="str">
        <x:v>中国其他企业</x:v>
      </x:c>
      <x:c r="D20" s="16" t="str">
        <x:v>2026</x:v>
      </x:c>
      <x:c r="E20" s="16" t="str">
        <x:v>CY2026E</x:v>
      </x:c>
      <x:c r="F20" s="16" t="str">
        <x:v>AI基础设施</x:v>
      </x:c>
      <x:c r="G20" s="16" t="str">
        <x:v>1,000</x:v>
      </x:c>
      <x:c r="H20" s="16" t="str">
        <x:v>亿元</x:v>
      </x:c>
      <x:c r="I20" s="16" t="str">
        <x:v>研究估计</x:v>
      </x:c>
      <x:c r="J20" s="16" t="str">
        <x:v>低</x:v>
      </x:c>
      <x:c r="K20" s="73" t="str">
        <x:v>G-CN-OTHER</x:v>
      </x:c>
      <x:c r="L20" s="74" t="str">
        <x:v>https://www.gov.cn/</x:v>
      </x:c>
      <x:c r="M20" s="16" t="str">
        <x:v>JD、Xiaomi、快手、车企、企业私有集群</x:v>
      </x:c>
    </x:row>
    <x:row r="21" ht="15" hidden="0" customHeight="1">
      <x:c r="A21" s="72" t="str">
        <x:v>S17</x:v>
      </x:c>
      <x:c r="B21" s="16" t="str">
        <x:v>项目</x:v>
      </x:c>
      <x:c r="C21" s="16" t="str">
        <x:v>Stargate UAE</x:v>
      </x:c>
      <x:c r="D21" s="16" t="str">
        <x:v>2025-05</x:v>
      </x:c>
      <x:c r="E21" s="16" t="str">
        <x:v>多年</x:v>
      </x:c>
      <x:c r="F21" s="16" t="str">
        <x:v>容量</x:v>
      </x:c>
      <x:c r="G21" s="16" t="str">
        <x:v>1 / 0.2 live in 2026</x:v>
      </x:c>
      <x:c r="H21" s="16" t="str">
        <x:v>GW</x:v>
      </x:c>
      <x:c r="I21" s="16" t="str">
        <x:v>官方</x:v>
      </x:c>
      <x:c r="J21" s="16" t="str">
        <x:v>高</x:v>
      </x:c>
      <x:c r="K21" s="73" t="str">
        <x:v>G-STARGATE-UAE</x:v>
      </x:c>
      <x:c r="L21" s="74" t="str">
        <x:v>https://openai.com/index/introducing-stargate-uae/</x:v>
      </x:c>
      <x:c r="M21" s="16" t="str">
        <x:v>成本为研究估计</x:v>
      </x:c>
    </x:row>
    <x:row r="22" ht="21.600000381469727" hidden="0" customHeight="1">
      <x:c r="A22" s="72" t="str">
        <x:v>S18</x:v>
      </x:c>
      <x:c r="B22" s="16" t="str">
        <x:v>项目</x:v>
      </x:c>
      <x:c r="C22" s="16" t="str">
        <x:v>HUMAIN</x:v>
      </x:c>
      <x:c r="D22" s="16" t="str">
        <x:v>2025-05</x:v>
      </x:c>
      <x:c r="E22" s="16" t="str">
        <x:v>5年</x:v>
      </x:c>
      <x:c r="F22" s="16" t="str">
        <x:v>AMD合作</x:v>
      </x:c>
      <x:c r="G22" s="16" t="str">
        <x:v>100 / 500</x:v>
      </x:c>
      <x:c r="H22" s="16" t="str">
        <x:v>亿美元/MW</x:v>
      </x:c>
      <x:c r="I22" s="16" t="str">
        <x:v>官方</x:v>
      </x:c>
      <x:c r="J22" s="16" t="str">
        <x:v>高</x:v>
      </x:c>
      <x:c r="K22" s="73" t="str">
        <x:v>G-HUMAIN</x:v>
      </x:c>
      <x:c r="L22" s="74" t="str">
        <x:v>https://www.amd.com/en/newsroom/press-releases/2025-5-13-amd-and-humain-form-strategic--10b-collaboration-.html</x:v>
      </x:c>
      <x:c r="M22" s="16" t="str">
        <x:v>另有AWS等项目，需去重</x:v>
      </x:c>
    </x:row>
    <x:row r="23" ht="21.600000381469727" hidden="0" customHeight="1">
      <x:c r="A23" s="72" t="str">
        <x:v>S19</x:v>
      </x:c>
      <x:c r="B23" s="16" t="str">
        <x:v>项目</x:v>
      </x:c>
      <x:c r="C23" s="16" t="str">
        <x:v>EU AI Gigafactories</x:v>
      </x:c>
      <x:c r="D23" s="16" t="str">
        <x:v>2026</x:v>
      </x:c>
      <x:c r="E23" s="16" t="str">
        <x:v>多年</x:v>
      </x:c>
      <x:c r="F23" s="16" t="str">
        <x:v>融资设施</x:v>
      </x:c>
      <x:c r="G23" s="16" t="str">
        <x:v>200</x:v>
      </x:c>
      <x:c r="H23" s="16" t="str">
        <x:v>亿欧元</x:v>
      </x:c>
      <x:c r="I23" s="16" t="str">
        <x:v>官方</x:v>
      </x:c>
      <x:c r="J23" s="16" t="str">
        <x:v>高</x:v>
      </x:c>
      <x:c r="K23" s="73" t="str">
        <x:v>G-EU-AI-GF</x:v>
      </x:c>
      <x:c r="L23" s="74" t="str">
        <x:v>https://commission.europa.eu/topics/competitiveness/competitiveness-coordination-tool-projects/ai-gigafactories_en</x:v>
      </x:c>
      <x:c r="M23" s="16" t="str">
        <x:v>2000亿欧元 InvestAI中200亿欧元设施，不等于当年支出</x:v>
      </x:c>
    </x:row>
    <x:row r="24" ht="21.600000381469727" hidden="0" customHeight="1">
      <x:c r="A24" s="72" t="str">
        <x:v>S20</x:v>
      </x:c>
      <x:c r="B24" s="16" t="str">
        <x:v>项目</x:v>
      </x:c>
      <x:c r="C24" s="16" t="str">
        <x:v>France AI Campus</x:v>
      </x:c>
      <x:c r="D24" s="16" t="str">
        <x:v>2025</x:v>
      </x:c>
      <x:c r="E24" s="16" t="str">
        <x:v>多年</x:v>
      </x:c>
      <x:c r="F24" s="16" t="str">
        <x:v>项目承诺</x:v>
      </x:c>
      <x:c r="G24" s="16" t="str">
        <x:v>85</x:v>
      </x:c>
      <x:c r="H24" s="16" t="str">
        <x:v>亿欧元</x:v>
      </x:c>
      <x:c r="I24" s="16" t="str">
        <x:v>官方</x:v>
      </x:c>
      <x:c r="J24" s="16" t="str">
        <x:v>高</x:v>
      </x:c>
      <x:c r="K24" s="73" t="str">
        <x:v>G-FR-AI</x:v>
      </x:c>
      <x:c r="L24" s="74" t="str">
        <x:v>https://www.economie.gouv.fr/actualites/ia-des-investissements-records-annonces-lors-du-sommet-choose-france-2025</x:v>
      </x:c>
      <x:c r="M24" s="16" t="str">
        <x:v>法国109bn总承诺不直接采用</x:v>
      </x:c>
    </x:row>
    <x:row r="25" ht="15" hidden="0" customHeight="1">
      <x:c r="A25" s="72" t="str">
        <x:v>S21</x:v>
      </x:c>
      <x:c r="B25" s="16" t="str">
        <x:v>项目</x:v>
      </x:c>
      <x:c r="C25" s="16" t="str">
        <x:v>IndiaAI</x:v>
      </x:c>
      <x:c r="D25" s="16" t="str">
        <x:v>2026</x:v>
      </x:c>
      <x:c r="E25" s="16" t="str">
        <x:v>多年</x:v>
      </x:c>
      <x:c r="F25" s="16" t="str">
        <x:v>公共算力/Blackwell</x:v>
      </x:c>
      <x:c r="G25" s="16" t="str">
        <x:v>~12 / 20k</x:v>
      </x:c>
      <x:c r="H25" s="16" t="str">
        <x:v>亿美元/GPU</x:v>
      </x:c>
      <x:c r="I25" s="16" t="str">
        <x:v>官方</x:v>
      </x:c>
      <x:c r="J25" s="16" t="str">
        <x:v>中高</x:v>
      </x:c>
      <x:c r="K25" s="73" t="str">
        <x:v>G-INDIA-AI</x:v>
      </x:c>
      <x:c r="L25" s="74" t="str">
        <x:v>https://blogs.nvidia.com/blog/india-ai-mission-infrastructure-models/</x:v>
      </x:c>
      <x:c r="M25" s="16" t="str">
        <x:v>仅采用公共项目，私营DC需另列</x:v>
      </x:c>
    </x:row>
    <x:row r="26" ht="21.600000381469727" hidden="0" customHeight="1">
      <x:c r="A26" s="72" t="str">
        <x:v>S22</x:v>
      </x:c>
      <x:c r="B26" s="16" t="str">
        <x:v>项目</x:v>
      </x:c>
      <x:c r="C26" s="16" t="str">
        <x:v>其他主权AI</x:v>
      </x:c>
      <x:c r="D26" s="16" t="str">
        <x:v>2026</x:v>
      </x:c>
      <x:c r="E26" s="16" t="str">
        <x:v>CY2026E</x:v>
      </x:c>
      <x:c r="F26" s="16" t="str">
        <x:v>净资产支出</x:v>
      </x:c>
      <x:c r="G26" s="16" t="str">
        <x:v>60</x:v>
      </x:c>
      <x:c r="H26" s="16" t="str">
        <x:v>亿美元</x:v>
      </x:c>
      <x:c r="I26" s="16" t="str">
        <x:v>研究估计</x:v>
      </x:c>
      <x:c r="J26" s="16" t="str">
        <x:v>低</x:v>
      </x:c>
      <x:c r="K26" s="73" t="str">
        <x:v>G-SOV-OTHER</x:v>
      </x:c>
      <x:c r="L26" s="74" t="str">
        <x:v>https://digital-strategy.ec.europa.eu/en/news/eu-launches-investai-initiative-mobilise-eu200-billion-investment-artificial-intelligence</x:v>
      </x:c>
      <x:c r="M26" s="16" t="str">
        <x:v>日本/韩国/加拿大/东南亚等净额</x:v>
      </x:c>
    </x:row>
    <x:row r="27" ht="15" hidden="0" customHeight="1">
      <x:c r="A27" s="72" t="str">
        <x:v>S23</x:v>
      </x:c>
      <x:c r="B27" s="16" t="str">
        <x:v>基建</x:v>
      </x:c>
      <x:c r="C27" s="16" t="str">
        <x:v>其他IDC/企业</x:v>
      </x:c>
      <x:c r="D27" s="16" t="str">
        <x:v>2026</x:v>
      </x:c>
      <x:c r="E27" s="16" t="str">
        <x:v>CY2026E</x:v>
      </x:c>
      <x:c r="F27" s="16" t="str">
        <x:v>资产端净额</x:v>
      </x:c>
      <x:c r="G27" s="16" t="str">
        <x:v>300</x:v>
      </x:c>
      <x:c r="H27" s="16" t="str">
        <x:v>亿美元</x:v>
      </x:c>
      <x:c r="I27" s="16" t="str">
        <x:v>研究估计</x:v>
      </x:c>
      <x:c r="J27" s="16" t="str">
        <x:v>低</x:v>
      </x:c>
      <x:c r="K27" s="73" t="str">
        <x:v>G-IDC-OTHER</x:v>
      </x:c>
      <x:c r="L27" s="74" t="str">
        <x:v>https://www.sec.gov/</x:v>
      </x:c>
      <x:c r="M27" s="16" t="str">
        <x:v>持续用IDC、电力、企业披露更新</x:v>
      </x:c>
    </x:row>
    <x:row r="28" ht="15" hidden="0" customHeight="1">
      <x:c r="A28" s="72" t="str">
        <x:v>S24</x:v>
      </x:c>
      <x:c r="B28" s="16" t="str">
        <x:v>云/应用</x:v>
      </x:c>
      <x:c r="C28" s="16" t="str">
        <x:v>Microsoft</x:v>
      </x:c>
      <x:c r="D28" s="16" t="str">
        <x:v>2026-07</x:v>
      </x:c>
      <x:c r="E28" s="16" t="str">
        <x:v>FY26Q4</x:v>
      </x:c>
      <x:c r="F28" s="16" t="str">
        <x:v>Cloud收入/RPO/AI ARR</x:v>
      </x:c>
      <x:c r="G28" s="16" t="str">
        <x:v>593 / 6,780 / &gt;370</x:v>
      </x:c>
      <x:c r="H28" s="16" t="str">
        <x:v>亿美元</x:v>
      </x:c>
      <x:c r="I28" s="16" t="str">
        <x:v>官方/研究拆分</x:v>
      </x:c>
      <x:c r="J28" s="16" t="str">
        <x:v>高</x:v>
      </x:c>
      <x:c r="K28" s="73" t="str">
        <x:v>G-MS-FY26Q4</x:v>
      </x:c>
      <x:c r="L28" s="74" t="str">
        <x:v>https://www.microsoft.com/en-us/Investor/earnings/FY-2026-Q4/press-release-webcast</x:v>
      </x:c>
      <x:c r="M28" s="16" t="str">
        <x:v>Cloud收入与商业RPO为官方披露；&gt;37为AI业务运行率，拆分到Azure与第一方应用仍属研究估计</x:v>
      </x:c>
    </x:row>
    <x:row r="29" ht="15" hidden="0" customHeight="1">
      <x:c r="A29" s="72" t="str">
        <x:v>S25</x:v>
      </x:c>
      <x:c r="B29" s="16" t="str">
        <x:v>云</x:v>
      </x:c>
      <x:c r="C29" s="16" t="str">
        <x:v>AWS</x:v>
      </x:c>
      <x:c r="D29" s="16" t="str">
        <x:v>2026-07</x:v>
      </x:c>
      <x:c r="E29" s="16" t="str">
        <x:v>CY26Q2</x:v>
      </x:c>
      <x:c r="F29" s="16" t="str">
        <x:v>收入/AI ARR/backlog</x:v>
      </x:c>
      <x:c r="G29" s="16" t="str">
        <x:v>422 / &gt;250 / 4,960</x:v>
      </x:c>
      <x:c r="H29" s="16" t="str">
        <x:v>亿美元</x:v>
      </x:c>
      <x:c r="I29" s="16" t="str">
        <x:v>官方/业绩会</x:v>
      </x:c>
      <x:c r="J29" s="16" t="str">
        <x:v>高</x:v>
      </x:c>
      <x:c r="K29" s="73" t="str">
        <x:v>G-AMZN-Q2-26</x:v>
      </x:c>
      <x:c r="L29" s="74" t="str">
        <x:v>https://www.aboutamazon.com/news/company-news/amazon-earnings-q2-2026-report</x:v>
      </x:c>
      <x:c r="M29" s="16" t="str">
        <x:v>收入与AI运行率见业绩公告，合同储备见同次业绩会；同源组与S03相同，不重复当独立验证</x:v>
      </x:c>
    </x:row>
    <x:row r="30" ht="15" hidden="0" customHeight="1">
      <x:c r="A30" s="72" t="str">
        <x:v>S26</x:v>
      </x:c>
      <x:c r="B30" s="16" t="str">
        <x:v>云</x:v>
      </x:c>
      <x:c r="C30" s="16" t="str">
        <x:v>Google Cloud</x:v>
      </x:c>
      <x:c r="D30" s="16" t="str">
        <x:v>2026-07</x:v>
      </x:c>
      <x:c r="E30" s="16" t="str">
        <x:v>CY26Q2</x:v>
      </x:c>
      <x:c r="F30" s="16" t="str">
        <x:v>收入/backlog</x:v>
      </x:c>
      <x:c r="G30" s="16" t="str">
        <x:v>247.68 / 5,139</x:v>
      </x:c>
      <x:c r="H30" s="16" t="str">
        <x:v>亿美元</x:v>
      </x:c>
      <x:c r="I30" s="16" t="str">
        <x:v>官方10-Q</x:v>
      </x:c>
      <x:c r="J30" s="16" t="str">
        <x:v>高</x:v>
      </x:c>
      <x:c r="K30" s="73" t="str">
        <x:v>G-ALPH-Q2-26</x:v>
      </x:c>
      <x:c r="L30" s="74" t="str">
        <x:v>https://www.sec.gov/Archives/edgar/data/1652044/000165204426000071/goog-20260630.htm</x:v>
      </x:c>
      <x:c r="M30" s="16" t="str">
        <x:v>Google Cloud收入+82%；公司总收入储备519.5，其中Google Cloud为513.9</x:v>
      </x:c>
    </x:row>
    <x:row r="31" ht="15" hidden="0" customHeight="1">
      <x:c r="A31" s="72" t="str">
        <x:v>S27</x:v>
      </x:c>
      <x:c r="B31" s="16" t="str">
        <x:v>云/应用</x:v>
      </x:c>
      <x:c r="C31" s="16" t="str">
        <x:v>ByteDance/火山</x:v>
      </x:c>
      <x:c r="D31" s="16" t="str">
        <x:v>2025-2026</x:v>
      </x:c>
      <x:c r="E31" s="16" t="str">
        <x:v>运行率</x:v>
      </x:c>
      <x:c r="F31" s="16" t="str">
        <x:v>收入/token</x:v>
      </x:c>
      <x:c r="G31" s="16" t="str">
        <x:v>250 / 120</x:v>
      </x:c>
      <x:c r="H31" s="16" t="str">
        <x:v>亿元 / 万亿Token/日</x:v>
      </x:c>
      <x:c r="I31" s="16" t="str">
        <x:v>媒体/研究</x:v>
      </x:c>
      <x:c r="J31" s="16" t="str">
        <x:v>中低</x:v>
      </x:c>
      <x:c r="K31" s="73" t="str">
        <x:v>G-BYTE-AI</x:v>
      </x:c>
      <x:c r="L31" s="74" t="str">
        <x:v>https://theteardown.co/bytedance</x:v>
      </x:c>
      <x:c r="M31" s="16" t="str">
        <x:v>火山2025目标与豆包token规模，非财务审计口径</x:v>
      </x:c>
    </x:row>
    <x:row r="32" ht="15" hidden="0" customHeight="1">
      <x:c r="A32" s="72" t="str">
        <x:v>S28</x:v>
      </x:c>
      <x:c r="B32" s="16" t="str">
        <x:v>应用</x:v>
      </x:c>
      <x:c r="C32" s="16" t="str">
        <x:v>Anthropic/OpenAI</x:v>
      </x:c>
      <x:c r="D32" s="16" t="str">
        <x:v>2026-07</x:v>
      </x:c>
      <x:c r="E32" s="16" t="str">
        <x:v>当前ARR</x:v>
      </x:c>
      <x:c r="F32" s="16" t="str">
        <x:v>高频跟踪</x:v>
      </x:c>
      <x:c r="G32" s="16" t="str">
        <x:v>741 / 413</x:v>
      </x:c>
      <x:c r="H32" s="16" t="str">
        <x:v>亿美元</x:v>
      </x:c>
      <x:c r="I32" s="16" t="str">
        <x:v>非权威tracker</x:v>
      </x:c>
      <x:c r="J32" s="16" t="str">
        <x:v>中</x:v>
      </x:c>
      <x:c r="K32" s="73" t="str">
        <x:v>G-TICKER-ARR</x:v>
      </x:c>
      <x:c r="L32" s="74" t="str">
        <x:v>https://blog.tickertrends.io/p/anthropic-vs-openai-arr-tracking</x:v>
      </x:c>
      <x:c r="M32" s="16" t="str">
        <x:v>模型Base放宽至80/50；公司确认值明显滞后</x:v>
      </x:c>
    </x:row>
    <x:row r="33" ht="15" hidden="0" customHeight="1">
      <x:c r="A33" s="72" t="str">
        <x:v>S29</x:v>
      </x:c>
      <x:c r="B33" s="16" t="str">
        <x:v>应用</x:v>
      </x:c>
      <x:c r="C33" s="16" t="str">
        <x:v>xAI</x:v>
      </x:c>
      <x:c r="D33" s="16" t="str">
        <x:v>2026</x:v>
      </x:c>
      <x:c r="E33" s="16" t="str">
        <x:v>当前ARR</x:v>
      </x:c>
      <x:c r="F33" s="16" t="str">
        <x:v>Grok纯收入</x:v>
      </x:c>
      <x:c r="G33" s="16" t="str">
        <x:v>6</x:v>
      </x:c>
      <x:c r="H33" s="16" t="str">
        <x:v>亿美元</x:v>
      </x:c>
      <x:c r="I33" s="16" t="str">
        <x:v>研究估计</x:v>
      </x:c>
      <x:c r="J33" s="16" t="str">
        <x:v>低</x:v>
      </x:c>
      <x:c r="K33" s="73" t="str">
        <x:v>G-XAI</x:v>
      </x:c>
      <x:c r="L33" s="74" t="str">
        <x:v>https://dealroom.co/charts/anthropic-vs-openai-arr.html?preview=1</x:v>
      </x:c>
      <x:c r="M33" s="16" t="str">
        <x:v>不计SpaceX AI/X广告整体</x:v>
      </x:c>
    </x:row>
    <x:row r="34" ht="15" hidden="0" customHeight="1">
      <x:c r="A34" s="72" t="str">
        <x:v>S30</x:v>
      </x:c>
      <x:c r="B34" s="16" t="str">
        <x:v>应用</x:v>
      </x:c>
      <x:c r="C34" s="16" t="str">
        <x:v>中国模型公司</x:v>
      </x:c>
      <x:c r="D34" s="16" t="str">
        <x:v>2026</x:v>
      </x:c>
      <x:c r="E34" s="16" t="str">
        <x:v>当前ARR</x:v>
      </x:c>
      <x:c r="F34" s="16" t="str">
        <x:v>汇总</x:v>
      </x:c>
      <x:c r="G34" s="16" t="str">
        <x:v>40</x:v>
      </x:c>
      <x:c r="H34" s="16" t="str">
        <x:v>亿美元</x:v>
      </x:c>
      <x:c r="I34" s="16" t="str">
        <x:v>研究估计</x:v>
      </x:c>
      <x:c r="J34" s="16" t="str">
        <x:v>低</x:v>
      </x:c>
      <x:c r="K34" s="73" t="str">
        <x:v>G-CN-LABS</x:v>
      </x:c>
      <x:c r="L34" s="74" t="str">
        <x:v>https://www.caict.ac.cn/</x:v>
      </x:c>
      <x:c r="M34" s="16" t="str">
        <x:v>需按智谱/月之暗面/MiniMax/DeepSeek逐季更新</x:v>
      </x:c>
    </x:row>
    <x:row r="35" ht="21.600000381469727" hidden="0" customHeight="1">
      <x:c r="A35" s="72" t="str">
        <x:v>S31</x:v>
      </x:c>
      <x:c r="B35" s="16" t="str">
        <x:v>应用</x:v>
      </x:c>
      <x:c r="C35" s="16" t="str">
        <x:v>Google</x:v>
      </x:c>
      <x:c r="D35" s="16" t="str">
        <x:v>2025-2026</x:v>
      </x:c>
      <x:c r="E35" s="16" t="str">
        <x:v>使用/变现</x:v>
      </x:c>
      <x:c r="F35" s="16" t="str">
        <x:v>AI Mode/订阅</x:v>
      </x:c>
      <x:c r="G35" s="16" t="str">
        <x:v>n/a</x:v>
      </x:c>
      <x:c r="H35" s="16" t="str">
        <x:v>n/a</x:v>
      </x:c>
      <x:c r="I35" s="16" t="str">
        <x:v>官方+估计</x:v>
      </x:c>
      <x:c r="J35" s="16" t="str">
        <x:v>低</x:v>
      </x:c>
      <x:c r="K35" s="73" t="str">
        <x:v>G-GOOG-APP</x:v>
      </x:c>
      <x:c r="L35" s="74" t="str">
        <x:v>https://abc.xyz/investor/events/event-details/2026/2025-Q4-Earnings-Call-2026-Dr_C033hS6/default.aspx</x:v>
      </x:c>
      <x:c r="M35" s="16" t="str">
        <x:v>AI Mode查询更长，收入未拆分</x:v>
      </x:c>
    </x:row>
    <x:row r="36" ht="15" hidden="0" customHeight="1">
      <x:c r="A36" s="72" t="str">
        <x:v>S32</x:v>
      </x:c>
      <x:c r="B36" s="16" t="str">
        <x:v>应用</x:v>
      </x:c>
      <x:c r="C36" s="16" t="str">
        <x:v>传统软件AI增量</x:v>
      </x:c>
      <x:c r="D36" s="16" t="str">
        <x:v>2026</x:v>
      </x:c>
      <x:c r="E36" s="16" t="str">
        <x:v>ARR</x:v>
      </x:c>
      <x:c r="F36" s="16" t="str">
        <x:v>Adobe/Salesforce等</x:v>
      </x:c>
      <x:c r="G36" s="16" t="str">
        <x:v>50</x:v>
      </x:c>
      <x:c r="H36" s="16" t="str">
        <x:v>亿美元</x:v>
      </x:c>
      <x:c r="I36" s="16" t="str">
        <x:v>研究估计</x:v>
      </x:c>
      <x:c r="J36" s="16" t="str">
        <x:v>低</x:v>
      </x:c>
      <x:c r="K36" s="73" t="str">
        <x:v>G-INCUMBENT-APP</x:v>
      </x:c>
      <x:c r="L36" s="74" t="str">
        <x:v>https://www.sec.gov/</x:v>
      </x:c>
      <x:c r="M36" s="16" t="str">
        <x:v>仅计明确可归因AI增量</x:v>
      </x:c>
    </x:row>
    <x:row r="37" ht="21.600000381469727" hidden="0" customHeight="1">
      <x:c r="A37" s="72" t="str">
        <x:v>S33</x:v>
      </x:c>
      <x:c r="B37" s="16" t="str">
        <x:v>应用</x:v>
      </x:c>
      <x:c r="C37" s="16" t="str">
        <x:v>AI-native startups</x:v>
      </x:c>
      <x:c r="D37" s="16" t="str">
        <x:v>2026-07</x:v>
      </x:c>
      <x:c r="E37" s="16" t="str">
        <x:v>当前ARR</x:v>
      </x:c>
      <x:c r="F37" s="16" t="str">
        <x:v>19家公司汇总</x:v>
      </x:c>
      <x:c r="G37" s="16" t="str">
        <x:v>183</x:v>
      </x:c>
      <x:c r="H37" s="16" t="str">
        <x:v>亿美元</x:v>
      </x:c>
      <x:c r="I37" s="16" t="str">
        <x:v>二手汇总</x:v>
      </x:c>
      <x:c r="J37" s="16" t="str">
        <x:v>低</x:v>
      </x:c>
      <x:c r="K37" s="73" t="str">
        <x:v>G-STARTUP-ARR</x:v>
      </x:c>
      <x:c r="L37" s="74" t="str">
        <x:v>https://techstartups.com/2026/07/15/these-19-ai-startups-are-generating-18-3-billion-in-annual-revenue-and-are-worth-a-combined-319-billion/</x:v>
      </x:c>
      <x:c r="M37" s="16" t="str">
        <x:v>剔除SSI/Thinking Machines等明显可疑项，并剔除云/算力重复</x:v>
      </x:c>
    </x:row>
    <x:row r="38" ht="21.600000381469727" hidden="0" customHeight="1">
      <x:c r="A38" s="72" t="str">
        <x:v>S34</x:v>
      </x:c>
      <x:c r="B38" s="16" t="str">
        <x:v>应用</x:v>
      </x:c>
      <x:c r="C38" s="16" t="str">
        <x:v>Replit</x:v>
      </x:c>
      <x:c r="D38" s="16" t="str">
        <x:v>2026-05</x:v>
      </x:c>
      <x:c r="E38" s="16" t="str">
        <x:v>运行率</x:v>
      </x:c>
      <x:c r="F38" s="16" t="str">
        <x:v>公司访谈</x:v>
      </x:c>
      <x:c r="G38" s="16" t="str">
        <x:v>toward 10</x:v>
      </x:c>
      <x:c r="H38" s="16" t="str">
        <x:v>亿美元</x:v>
      </x:c>
      <x:c r="I38" s="16" t="str">
        <x:v>媒体访谈</x:v>
      </x:c>
      <x:c r="J38" s="16" t="str">
        <x:v>中低</x:v>
      </x:c>
      <x:c r="K38" s="73" t="str">
        <x:v>G-REPLIT</x:v>
      </x:c>
      <x:c r="L38" s="74" t="str">
        <x:v>https://techcrunch.com/2026/05/01/replits-amjad-masad-on-the-cursor-deal-fighting-apple-and-why-hed-rather-not-sell/</x:v>
      </x:c>
      <x:c r="M38" s="16" t="str">
        <x:v>不全额采用管理层目标</x:v>
      </x:c>
    </x:row>
    <x:row r="39" ht="21.600000381469727" hidden="0" customHeight="1">
      <x:c r="A39" s="72" t="str">
        <x:v>S35</x:v>
      </x:c>
      <x:c r="B39" s="16" t="str">
        <x:v>应用</x:v>
      </x:c>
      <x:c r="C39" s="16" t="str">
        <x:v>Glean</x:v>
      </x:c>
      <x:c r="D39" s="16" t="str">
        <x:v>2026-05</x:v>
      </x:c>
      <x:c r="E39" s="16" t="str">
        <x:v>ARR</x:v>
      </x:c>
      <x:c r="F39" s="16" t="str">
        <x:v>公司披露</x:v>
      </x:c>
      <x:c r="G39" s="16" t="str">
        <x:v>&gt;3</x:v>
      </x:c>
      <x:c r="H39" s="16" t="str">
        <x:v>亿美元</x:v>
      </x:c>
      <x:c r="I39" s="16" t="str">
        <x:v>官方</x:v>
      </x:c>
      <x:c r="J39" s="16" t="str">
        <x:v>高</x:v>
      </x:c>
      <x:c r="K39" s="73" t="str">
        <x:v>G-GLEAN</x:v>
      </x:c>
      <x:c r="L39" s="74" t="str">
        <x:v>https://www.glean.com/press/glean-surpasses-300m-arr-unrivaled-enterprise-context-fuels-ai-adoption</x:v>
      </x:c>
      <x:c r="M39" s="16" t="str">
        <x:v>企业搜索/Agent</x:v>
      </x:c>
    </x:row>
    <x:row r="40" ht="15" hidden="0" customHeight="1">
      <x:c r="A40" s="72" t="str">
        <x:v>S36</x:v>
      </x:c>
      <x:c r="B40" s="16" t="str">
        <x:v>云</x:v>
      </x:c>
      <x:c r="C40" s="16" t="str">
        <x:v>其他区域云/MaaS</x:v>
      </x:c>
      <x:c r="D40" s="16" t="str">
        <x:v>2026</x:v>
      </x:c>
      <x:c r="E40" s="16" t="str">
        <x:v>运行率</x:v>
      </x:c>
      <x:c r="F40" s="16" t="str">
        <x:v>汇总</x:v>
      </x:c>
      <x:c r="G40" s="16" t="str">
        <x:v>80</x:v>
      </x:c>
      <x:c r="H40" s="16" t="str">
        <x:v>亿美元</x:v>
      </x:c>
      <x:c r="I40" s="16" t="str">
        <x:v>研究估计</x:v>
      </x:c>
      <x:c r="J40" s="16" t="str">
        <x:v>低</x:v>
      </x:c>
      <x:c r="K40" s="73" t="str">
        <x:v>G-OTHER-CLOUD</x:v>
      </x:c>
      <x:c r="L40" s="74" t="str">
        <x:v>https://www.sec.gov/</x:v>
      </x:c>
      <x:c r="M40" s="16" t="str">
        <x:v>避免与Neocloud重复</x:v>
      </x:c>
    </x:row>
    <x:row r="41" ht="15" hidden="0" customHeight="1">
      <x:c r="A41" s="72" t="str">
        <x:v>S37</x:v>
      </x:c>
      <x:c r="B41" s="16" t="str">
        <x:v>嵌入变现</x:v>
      </x:c>
      <x:c r="C41" s="16" t="str">
        <x:v>Meta</x:v>
      </x:c>
      <x:c r="D41" s="16" t="str">
        <x:v>2026</x:v>
      </x:c>
      <x:c r="E41" s="16" t="str">
        <x:v>CY2026E</x:v>
      </x:c>
      <x:c r="F41" s="16" t="str">
        <x:v>广告AI增量</x:v>
      </x:c>
      <x:c r="G41" s="16" t="str">
        <x:v>350</x:v>
      </x:c>
      <x:c r="H41" s="16" t="str">
        <x:v>亿美元</x:v>
      </x:c>
      <x:c r="I41" s="16" t="str">
        <x:v>反事实估计</x:v>
      </x:c>
      <x:c r="J41" s="16" t="str">
        <x:v>低</x:v>
      </x:c>
      <x:c r="K41" s="73" t="str">
        <x:v>G-META-EMBED</x:v>
      </x:c>
      <x:c r="L41" s="74" t="str">
        <x:v>https://investor.atmeta.com/</x:v>
      </x:c>
      <x:c r="M41" s="16" t="str">
        <x:v>默认不纳入核心回报</x:v>
      </x:c>
    </x:row>
    <x:row r="42" ht="15" hidden="0" customHeight="1">
      <x:c r="A42" s="72" t="str">
        <x:v>S38</x:v>
      </x:c>
      <x:c r="B42" s="16" t="str">
        <x:v>项目</x:v>
      </x:c>
      <x:c r="C42" s="16" t="str">
        <x:v>Stargate US</x:v>
      </x:c>
      <x:c r="D42" s="16" t="str">
        <x:v>2025-01</x:v>
      </x:c>
      <x:c r="E42" s="16" t="str">
        <x:v>4年</x:v>
      </x:c>
      <x:c r="F42" s="16" t="str">
        <x:v>承诺</x:v>
      </x:c>
      <x:c r="G42" s="16" t="str">
        <x:v>5,000</x:v>
      </x:c>
      <x:c r="H42" s="16" t="str">
        <x:v>亿美元</x:v>
      </x:c>
      <x:c r="I42" s="16" t="str">
        <x:v>官方</x:v>
      </x:c>
      <x:c r="J42" s="16" t="str">
        <x:v>高</x:v>
      </x:c>
      <x:c r="K42" s="73" t="str">
        <x:v>G-STARGATE-US</x:v>
      </x:c>
      <x:c r="L42" s="74" t="str">
        <x:v>https://openai.com/index/announcing-the-stargate-project/</x:v>
      </x:c>
      <x:c r="M42" s="16" t="str">
        <x:v>承诺而非实际支出</x:v>
      </x:c>
    </x:row>
    <x:row r="43" ht="15" hidden="0" customHeight="1">
      <x:c r="A43" s="72" t="str">
        <x:v>S39</x:v>
      </x:c>
      <x:c r="B43" s="16" t="str">
        <x:v>项目</x:v>
      </x:c>
      <x:c r="C43" s="16" t="str">
        <x:v>Stargate sites</x:v>
      </x:c>
      <x:c r="D43" s="16" t="str">
        <x:v>2025-09/2026</x:v>
      </x:c>
      <x:c r="E43" s="16" t="str">
        <x:v>3年</x:v>
      </x:c>
      <x:c r="F43" s="16" t="str">
        <x:v>站点规划</x:v>
      </x:c>
      <x:c r="G43" s="16" t="str">
        <x:v>&gt;4,000 / ~7</x:v>
      </x:c>
      <x:c r="H43" s="16" t="str">
        <x:v>亿美元/GW</x:v>
      </x:c>
      <x:c r="I43" s="16" t="str">
        <x:v>官方</x:v>
      </x:c>
      <x:c r="J43" s="16" t="str">
        <x:v>高</x:v>
      </x:c>
      <x:c r="K43" s="73" t="str">
        <x:v>G-STARGATE-SITES</x:v>
      </x:c>
      <x:c r="L43" s="74" t="str">
        <x:v>https://openai.com/index/five-new-stargate-sites/</x:v>
      </x:c>
      <x:c r="M43" s="16" t="str">
        <x:v>与S38及Oracle/CoreWeave高度重叠</x:v>
      </x:c>
    </x:row>
    <x:row r="44" ht="15" hidden="0" customHeight="1">
      <x:c r="A44" s="72" t="str">
        <x:v>S40</x:v>
      </x:c>
      <x:c r="B44" s="16" t="str">
        <x:v>企业内部</x:v>
      </x:c>
      <x:c r="C44" s="16" t="str">
        <x:v>美国企业GenAI</x:v>
      </x:c>
      <x:c r="D44" s="16" t="str">
        <x:v>2025</x:v>
      </x:c>
      <x:c r="E44" s="16" t="str">
        <x:v>年度</x:v>
      </x:c>
      <x:c r="F44" s="16" t="str">
        <x:v>企业支出</x:v>
      </x:c>
      <x:c r="G44" s="16" t="str">
        <x:v>370</x:v>
      </x:c>
      <x:c r="H44" s="16" t="str">
        <x:v>亿美元</x:v>
      </x:c>
      <x:c r="I44" s="16" t="str">
        <x:v>调查</x:v>
      </x:c>
      <x:c r="J44" s="16" t="str">
        <x:v>中</x:v>
      </x:c>
      <x:c r="K44" s="73" t="str">
        <x:v>G-MENLO-25</x:v>
      </x:c>
      <x:c r="L44" s="74" t="str">
        <x:v>https://menlovc.com/perspective/2025-the-state-of-generative-ai-in-the-enterprise/</x:v>
      </x:c>
      <x:c r="M44" s="16" t="str">
        <x:v>需求侧交叉验证，不与厂商收入直接相加</x:v>
      </x:c>
    </x:row>
    <x:row r="45" ht="15" hidden="0" customHeight="1">
      <x:c r="A45" s="72" t="str">
        <x:v>S41</x:v>
      </x:c>
      <x:c r="B45" s="16" t="str">
        <x:v>企业内部</x:v>
      </x:c>
      <x:c r="C45" s="16" t="str">
        <x:v>美国工作者</x:v>
      </x:c>
      <x:c r="D45" s="16" t="str">
        <x:v>2025-08</x:v>
      </x:c>
      <x:c r="E45" s="16" t="str">
        <x:v>调查</x:v>
      </x:c>
      <x:c r="F45" s="16" t="str">
        <x:v>AI工时/节省</x:v>
      </x:c>
      <x:c r="G45" s="16" t="str">
        <x:v>5.7 / 1.6</x:v>
      </x:c>
      <x:c r="H45" s="16" t="str">
        <x:v>%全部工时</x:v>
      </x:c>
      <x:c r="I45" s="16" t="str">
        <x:v>研究</x:v>
      </x:c>
      <x:c r="J45" s="16" t="str">
        <x:v>中高</x:v>
      </x:c>
      <x:c r="K45" s="73" t="str">
        <x:v>G-STLFED-AI</x:v>
      </x:c>
      <x:c r="L45" s="74" t="str">
        <x:v>https://www.stlouisfed.org/on-the-economy/2025/nov/state-generative-ai-adoption-2025</x:v>
      </x:c>
      <x:c r="M45" s="16" t="str">
        <x:v>1.6%为全体工时节省等价，仍需兑现率折扣</x:v>
      </x:c>
    </x:row>
    <x:row r="46" ht="15" hidden="0" customHeight="1">
      <x:c r="A46" s="72" t="str">
        <x:v>S42</x:v>
      </x:c>
      <x:c r="B46" s="16" t="str">
        <x:v>企业内部</x:v>
      </x:c>
      <x:c r="C46" s="16" t="str">
        <x:v>企业知识工作</x:v>
      </x:c>
      <x:c r="D46" s="16" t="str">
        <x:v>2025</x:v>
      </x:c>
      <x:c r="E46" s="16" t="str">
        <x:v>66家企业</x:v>
      </x:c>
      <x:c r="F46" s="16" t="str">
        <x:v>活跃用户节省</x:v>
      </x:c>
      <x:c r="G46" s="16" t="str">
        <x:v>~2</x:v>
      </x:c>
      <x:c r="H46" s="16" t="str">
        <x:v>hours/week</x:v>
      </x:c>
      <x:c r="I46" s="16" t="str">
        <x:v>NBER论文</x:v>
      </x:c>
      <x:c r="J46" s="16" t="str">
        <x:v>高</x:v>
      </x:c>
      <x:c r="K46" s="73" t="str">
        <x:v>G-NBER-33795</x:v>
      </x:c>
      <x:c r="L46" s="74" t="str">
        <x:v>https://www.nber.org/papers/w33795</x:v>
      </x:c>
      <x:c r="M46" s="16" t="str">
        <x:v>没有观察到任务数量/构成显著改变</x:v>
      </x:c>
    </x:row>
    <x:row r="47" ht="15" hidden="0" customHeight="1">
      <x:c r="A47" s="72" t="str">
        <x:v>S43</x:v>
      </x:c>
      <x:c r="B47" s="16" t="str">
        <x:v>企业内部</x:v>
      </x:c>
      <x:c r="C47" s="16" t="str">
        <x:v>劳动市场</x:v>
      </x:c>
      <x:c r="D47" s="16" t="str">
        <x:v>2025</x:v>
      </x:c>
      <x:c r="E47" s="16" t="str">
        <x:v>两年后</x:v>
      </x:c>
      <x:c r="F47" s="16" t="str">
        <x:v>收入/工时影响</x:v>
      </x:c>
      <x:c r="G47" s="16" t="str">
        <x:v>&lt;2 detectable</x:v>
      </x:c>
      <x:c r="H47" s="16" t="str">
        <x:v>%</x:v>
      </x:c>
      <x:c r="I47" s="16" t="str">
        <x:v>NBER论文</x:v>
      </x:c>
      <x:c r="J47" s="16" t="str">
        <x:v>高</x:v>
      </x:c>
      <x:c r="K47" s="73" t="str">
        <x:v>G-NBER-33777</x:v>
      </x:c>
      <x:c r="L47" s="74" t="str">
        <x:v>对内部价值采用强兑现率折扣</x:v>
      </x:c>
      <x:c r="M47" s="16"/>
    </x:row>
    <x:row r="48" ht="15" hidden="0" customHeight="1">
      <x:c r="A48" s="72" t="str">
        <x:v>S44</x:v>
      </x:c>
      <x:c r="B48" s="16" t="str">
        <x:v>企业内部</x:v>
      </x:c>
      <x:c r="C48" s="16" t="str">
        <x:v>Aramco</x:v>
      </x:c>
      <x:c r="D48" s="16" t="str">
        <x:v>2024</x:v>
      </x:c>
      <x:c r="E48" s="16" t="str">
        <x:v>年度</x:v>
      </x:c>
      <x:c r="F48" s="16" t="str">
        <x:v>AI技术实现价值</x:v>
      </x:c>
      <x:c r="G48" s="16" t="str">
        <x:v>18</x:v>
      </x:c>
      <x:c r="H48" s="16" t="str">
        <x:v>亿美元</x:v>
      </x:c>
      <x:c r="I48" s="16" t="str">
        <x:v>公司披露</x:v>
      </x:c>
      <x:c r="J48" s="16" t="str">
        <x:v>中高</x:v>
      </x:c>
      <x:c r="K48" s="73" t="str">
        <x:v>G-ARAMCO-AI</x:v>
      </x:c>
      <x:c r="L48" s="74" t="str">
        <x:v>https://www.aramco.com/en/what-we-do/energy-innovation/digitalization/building-the-ai-future</x:v>
      </x:c>
      <x:c r="M48" s="16" t="str">
        <x:v>442 use cases、200+部署，案例而非全球外推基准</x:v>
      </x:c>
    </x:row>
    <x:row r="49" ht="15" hidden="0" customHeight="1">
      <x:c r="A49" s="72" t="str">
        <x:v>S45</x:v>
      </x:c>
      <x:c r="B49" s="16" t="str">
        <x:v>历史框架</x:v>
      </x:c>
      <x:c r="C49" s="16" t="str">
        <x:v>华鑫AI周观点</x:v>
      </x:c>
      <x:c r="D49" s="16" t="str">
        <x:v>2026-05~08</x:v>
      </x:c>
      <x:c r="E49" s="16" t="str">
        <x:v>内部</x:v>
      </x:c>
      <x:c r="F49" s="16" t="str">
        <x:v>产业框架</x:v>
      </x:c>
      <x:c r="G49" s="16" t="str">
        <x:v>3,000 ARR vs future 20tn capex</x:v>
      </x:c>
      <x:c r="H49" s="16" t="str">
        <x:v>亿美元</x:v>
      </x:c>
      <x:c r="I49" s="16" t="str">
        <x:v>用户历史材料</x:v>
      </x:c>
      <x:c r="J49" s="16" t="str">
        <x:v>高</x:v>
      </x:c>
      <x:c r="K49" s="73" t="str">
        <x:v>G-INTERNAL-WEEKLY</x:v>
      </x:c>
      <x:c r="L49" s="74" t="str">
        <x:v>backend/data/weekly-viewpoints.json</x:v>
      </x:c>
      <x:c r="M49" s="16" t="str">
        <x:v>用于研究视角，不作为外部事实证据</x:v>
      </x:c>
    </x:row>
    <x:row r="50" ht="21.600000381469727" hidden="0" customHeight="1">
      <x:c r="A50" s="72" t="str">
        <x:v>S46</x:v>
      </x:c>
      <x:c r="B50" s="16" t="str">
        <x:v>历史框架</x:v>
      </x:c>
      <x:c r="C50" s="16" t="str">
        <x:v>AI投研策略及推荐</x:v>
      </x:c>
      <x:c r="D50" s="16" t="str">
        <x:v>2026-08-07</x:v>
      </x:c>
      <x:c r="E50" s="16" t="str">
        <x:v>内部</x:v>
      </x:c>
      <x:c r="F50" s="16" t="str">
        <x:v>产业框架</x:v>
      </x:c>
      <x:c r="G50" s="16" t="str">
        <x:v>7,757 / 13,800 / 20,000</x:v>
      </x:c>
      <x:c r="H50" s="16" t="str">
        <x:v>亿美元</x:v>
      </x:c>
      <x:c r="I50" s="16" t="str">
        <x:v>用户附件</x:v>
      </x:c>
      <x:c r="J50" s="16" t="str">
        <x:v>高</x:v>
      </x:c>
      <x:c r="K50" s="73" t="str">
        <x:v>G-INTERNAL-DECK</x:v>
      </x:c>
      <x:c r="L50" s="74" t="str">
        <x:v>/Users/huaxinai/Library/CloudStorage/Dropbox/华鑫证券/02-常规工作/202608/01-8月路演/AI投研策略及推荐-陈明璋-20260807.pdf</x:v>
      </x:c>
      <x:c r="M50" s="16" t="str">
        <x:v>参考其第一性视角，重新统一财年/自然年并扩展全球主体</x:v>
      </x:c>
    </x:row>
    <x:row r="51" ht="15" hidden="0" customHeight="1">
      <x:c r="A51" s="72" t="str">
        <x:v>S47</x:v>
      </x:c>
      <x:c r="B51" s="16" t="str">
        <x:v>中国算力服务</x:v>
      </x:c>
      <x:c r="C51" s="16" t="str">
        <x:v>中国信通院</x:v>
      </x:c>
      <x:c r="D51" s="16" t="str">
        <x:v>2026-04</x:v>
      </x:c>
      <x:c r="E51" s="16" t="str">
        <x:v>2025/2026</x:v>
      </x:c>
      <x:c r="F51" s="16" t="str">
        <x:v>智能算力服务收入/全球AI基建支出</x:v>
      </x:c>
      <x:c r="G51" s="16" t="str">
        <x:v>&gt;1,300 / &gt;13,600</x:v>
      </x:c>
      <x:c r="H51" s="16" t="str">
        <x:v>亿元 / 亿美元</x:v>
      </x:c>
      <x:c r="I51" s="16" t="str">
        <x:v>官方研究</x:v>
      </x:c>
      <x:c r="J51" s="16" t="str">
        <x:v>中高</x:v>
      </x:c>
      <x:c r="K51" s="73" t="str">
        <x:v>G-CAICT-SMART-COMPUTE-26</x:v>
      </x:c>
      <x:c r="L51" s="74" t="str">
        <x:v>https://www.caict.ac.cn/kxyj/qwfb/ztbg/202604/P020260430517209165899.pdf</x:v>
      </x:c>
      <x:c r="M51" s="16" t="str">
        <x:v>前者是中国2025年服务市场收入，后者是全球2026年广义AI基础设施支出；不可混用</x:v>
      </x:c>
    </x:row>
    <x:row r="52" ht="15" hidden="0" customHeight="1">
      <x:c r="A52" s="72" t="str">
        <x:v>S48</x:v>
      </x:c>
      <x:c r="B52" s="16" t="str">
        <x:v>中国算力投资</x:v>
      </x:c>
      <x:c r="C52" s="16" t="str">
        <x:v>科智咨询/万联证券</x:v>
      </x:c>
      <x:c r="D52" s="16" t="str">
        <x:v>2025-08</x:v>
      </x:c>
      <x:c r="E52" s="16" t="str">
        <x:v>2027E</x:v>
      </x:c>
      <x:c r="F52" s="16" t="str">
        <x:v>智算中心投资</x:v>
      </x:c>
      <x:c r="G52" s="16" t="str">
        <x:v>4,826</x:v>
      </x:c>
      <x:c r="H52" s="16" t="str">
        <x:v>亿元</x:v>
      </x:c>
      <x:c r="I52" s="16" t="str">
        <x:v>行业研究</x:v>
      </x:c>
      <x:c r="J52" s="16" t="str">
        <x:v>中</x:v>
      </x:c>
      <x:c r="K52" s="73" t="str">
        <x:v>G-CN-AIDC-OLD-27</x:v>
      </x:c>
      <x:c r="L52" s="74" t="str">
        <x:v>https://pdf.dfcfw.com/pdf/H301_AP202508011719644348_1.pdf</x:v>
      </x:c>
      <x:c r="M52" s="16" t="str">
        <x:v>窄口径旧预测；对当前调研的1.5万亿路径仅作低情景参照</x:v>
      </x:c>
    </x:row>
    <x:row r="53" ht="15" hidden="0" customHeight="1">
      <x:c r="A53" s="72" t="str">
        <x:v>S49</x:v>
      </x:c>
      <x:c r="B53" s="16" t="str">
        <x:v>中国租赁</x:v>
      </x:c>
      <x:c r="C53" s="16" t="str">
        <x:v>协创数据</x:v>
      </x:c>
      <x:c r="D53" s="16" t="str">
        <x:v>2025-11</x:v>
      </x:c>
      <x:c r="E53" s="16" t="str">
        <x:v>截至2025-08/2026前瞻</x:v>
      </x:c>
      <x:c r="F53" s="16" t="str">
        <x:v>服务器投资/采购计划</x:v>
      </x:c>
      <x:c r="G53" s="16" t="str">
        <x:v>&gt;700 + 400已完成 + &lt;=400推进</x:v>
      </x:c>
      <x:c r="H53" s="16" t="str">
        <x:v>亿元</x:v>
      </x:c>
      <x:c r="I53" s="16" t="str">
        <x:v>公司投资者活动</x:v>
      </x:c>
      <x:c r="J53" s="16" t="str">
        <x:v>中高</x:v>
      </x:c>
      <x:c r="K53" s="73" t="str">
        <x:v>G-SZSE-300857-COMPUTE</x:v>
      </x:c>
      <x:c r="L53" s="74" t="str">
        <x:v>https://static.cninfo.com.cn/finalpage/2025-11-20/1224818486.PDF</x:v>
      </x:c>
      <x:c r="M53" s="16" t="str">
        <x:v>累计资产与待执行计划要分开；模型只对未完成部分做前瞻</x:v>
      </x:c>
    </x:row>
    <x:row r="54" ht="32.400001525878906" hidden="0" customHeight="1">
      <x:c r="A54" s="72" t="str">
        <x:v>S50</x:v>
      </x:c>
      <x:c r="B54" s="16" t="str">
        <x:v>中国租赁</x:v>
      </x:c>
      <x:c r="C54" s="16" t="str">
        <x:v>利通电子</x:v>
      </x:c>
      <x:c r="D54" s="16" t="str">
        <x:v>2026-04</x:v>
      </x:c>
      <x:c r="E54" s="16" t="str">
        <x:v>2025A/2026初</x:v>
      </x:c>
      <x:c r="F54" s="16" t="str">
        <x:v>算力业务收入/可调度算力</x:v>
      </x:c>
      <x:c r="G54" s="16" t="str">
        <x:v>120 / 38,000P（直租16,000P、转租22,000P）</x:v>
      </x:c>
      <x:c r="H54" s="16" t="str">
        <x:v>亿元 / P</x:v>
      </x:c>
      <x:c r="I54" s="16" t="str">
        <x:v>年报/股东会材料</x:v>
      </x:c>
      <x:c r="J54" s="16" t="str">
        <x:v>中高</x:v>
      </x:c>
      <x:c r="K54" s="73" t="str">
        <x:v>G-SSE-603629-AR25</x:v>
      </x:c>
      <x:c r="L54" s="74" t="str">
        <x:v>https://money.finance.sina.com.cn/corp/view/vCB_AllBulletinDetail.php?id=12323930&amp;stockid=603629</x:v>
      </x:c>
      <x:c r="M54" s="16" t="str">
        <x:v>转租占可调度算力58%，证明运营商自身CapEx不能代表资产全貌</x:v>
      </x:c>
    </x:row>
    <x:row r="55" ht="15" hidden="0" customHeight="1">
      <x:c r="A55" s="72" t="str">
        <x:v>S51</x:v>
      </x:c>
      <x:c r="B55" s="16" t="str">
        <x:v>中国租赁</x:v>
      </x:c>
      <x:c r="C55" s="16" t="str">
        <x:v>行云科技</x:v>
      </x:c>
      <x:c r="D55" s="16" t="str">
        <x:v>2026-07-20</x:v>
      </x:c>
      <x:c r="E55" s="16" t="str">
        <x:v>5+3年</x:v>
      </x:c>
      <x:c r="F55" s="16" t="str">
        <x:v>向地方国资采购算力服务</x:v>
      </x:c>
      <x:c r="G55" s="16" t="str">
        <x:v>2.996 / 32套；框架128套</x:v>
      </x:c>
      <x:c r="H55" s="16" t="str">
        <x:v>亿元 / sets</x:v>
      </x:c>
      <x:c r="I55" s="16" t="str">
        <x:v>公司公告</x:v>
      </x:c>
      <x:c r="J55" s="16" t="str">
        <x:v>高</x:v>
      </x:c>
      <x:c r="K55" s="73" t="str">
        <x:v>G-CNINFO-300209-2026103</x:v>
      </x:c>
      <x:c r="L55" s="74" t="str">
        <x:v>https://static.cninfo.com.cn/finalpage/2026-07-21/1225433899.PDF</x:v>
      </x:c>
      <x:c r="M55" s="16" t="str">
        <x:v>行云是转租/运营方，资产所有者可能是SA地方国企</x:v>
      </x:c>
    </x:row>
    <x:row r="56" ht="15" hidden="0" customHeight="1">
      <x:c r="A56" s="72" t="str">
        <x:v>S52</x:v>
      </x:c>
      <x:c r="B56" s="16" t="str">
        <x:v>中国租赁</x:v>
      </x:c>
      <x:c r="C56" s="16" t="str">
        <x:v>行云科技</x:v>
      </x:c>
      <x:c r="D56" s="16" t="str">
        <x:v>2026-07-29</x:v>
      </x:c>
      <x:c r="E56" s="16" t="str">
        <x:v>多年</x:v>
      </x:c>
      <x:c r="F56" s="16" t="str">
        <x:v>已披露且在履行算力/存储重大合同</x:v>
      </x:c>
      <x:c r="G56" s="16" t="str">
        <x:v>1,540.399</x:v>
      </x:c>
      <x:c r="H56" s="16" t="str">
        <x:v>亿元</x:v>
      </x:c>
      <x:c r="I56" s="16" t="str">
        <x:v>公司公告镜像</x:v>
      </x:c>
      <x:c r="J56" s="16" t="str">
        <x:v>中高</x:v>
      </x:c>
      <x:c r="K56" s="73" t="str">
        <x:v>G-300209-CONTRACT-POOL</x:v>
      </x:c>
      <x:c r="L56" s="74" t="str">
        <x:v>https://vip.stock.finance.sina.com.cn/corp/view/vCB_AllBulletinDetail.php?id=12468231</x:v>
      </x:c>
      <x:c r="M56" s="16" t="str">
        <x:v>大部分是5年服务合同；全额不等于当年投资</x:v>
      </x:c>
    </x:row>
    <x:row r="57" ht="21.600000381469727" hidden="0" customHeight="1">
      <x:c r="A57" s="72" t="str">
        <x:v>S53</x:v>
      </x:c>
      <x:c r="B57" s="16" t="str">
        <x:v>中国租赁</x:v>
      </x:c>
      <x:c r="C57" s="16" t="str">
        <x:v>宏景科技</x:v>
      </x:c>
      <x:c r="D57" s="16" t="str">
        <x:v>2026-03</x:v>
      </x:c>
      <x:c r="E57" s="16" t="str">
        <x:v>募投项目/2025年末订单</x:v>
      </x:c>
      <x:c r="F57" s="16" t="str">
        <x:v>服务器投资与在手需求</x:v>
      </x:c>
      <x:c r="G57" s="16" t="str">
        <x:v>384台/3,000P/单台235万；需求&gt;10,000P</x:v>
      </x:c>
      <x:c r="H57" s="16" t="str">
        <x:v>servers/P/RMB</x:v>
      </x:c>
      <x:c r="I57" s="16" t="str">
        <x:v>深交所审核回复</x:v>
      </x:c>
      <x:c r="J57" s="16" t="str">
        <x:v>高</x:v>
      </x:c>
      <x:c r="K57" s="73" t="str">
        <x:v>G-CNINFO-301396-FUNDRAISE</x:v>
      </x:c>
      <x:c r="L57" s="74" t="str">
        <x:v>https://static.cninfo.com.cn/finalpage/2026-03-27/1225039518.PDF</x:v>
      </x:c>
      <x:c r="M57" s="16" t="str">
        <x:v>可直接换算约9.02亿服务器投资；新产能只覆盖需求约30%</x:v>
      </x:c>
    </x:row>
    <x:row r="58" ht="15" hidden="0" customHeight="1">
      <x:c r="A58" s="72" t="str">
        <x:v>S54</x:v>
      </x:c>
      <x:c r="B58" s="16" t="str">
        <x:v>中国租赁</x:v>
      </x:c>
      <x:c r="C58" s="16" t="str">
        <x:v>宏景科技</x:v>
      </x:c>
      <x:c r="D58" s="16" t="str">
        <x:v>2024-10</x:v>
      </x:c>
      <x:c r="E58" s="16" t="str">
        <x:v>多年</x:v>
      </x:c>
      <x:c r="F58" s="16" t="str">
        <x:v>算力服务合同</x:v>
      </x:c>
      <x:c r="G58" s="16" t="str">
        <x:v>4.857</x:v>
      </x:c>
      <x:c r="H58" s="16" t="str">
        <x:v>亿元</x:v>
      </x:c>
      <x:c r="I58" s="16" t="str">
        <x:v>公司公告</x:v>
      </x:c>
      <x:c r="J58" s="16" t="str">
        <x:v>高</x:v>
      </x:c>
      <x:c r="K58" s="73" t="str">
        <x:v>G-CNINFO-301396-CONTRACT</x:v>
      </x:c>
      <x:c r="L58" s="74" t="str">
        <x:v>https://static.cninfo.com.cn/finalpage/2024-10-30/1221569071.PDF</x:v>
      </x:c>
      <x:c r="M58" s="16" t="str">
        <x:v>合同价=服务器数量×服务单价×期限+配套服务+残值，不是资产采购价</x:v>
      </x:c>
    </x:row>
    <x:row r="59" ht="15" hidden="0" customHeight="1">
      <x:c r="A59" s="72" t="str">
        <x:v>S55</x:v>
      </x:c>
      <x:c r="B59" s="16" t="str">
        <x:v>中国运营商</x:v>
      </x:c>
      <x:c r="C59" s="16" t="str">
        <x:v>中国移动</x:v>
      </x:c>
      <x:c r="D59" s="16" t="str">
        <x:v>2026-03</x:v>
      </x:c>
      <x:c r="E59" s="16" t="str">
        <x:v>CY2026E</x:v>
      </x:c>
      <x:c r="F59" s="16" t="str">
        <x:v>算力网投资计划</x:v>
      </x:c>
      <x:c r="G59" s="16" t="str">
        <x:v>378</x:v>
      </x:c>
      <x:c r="H59" s="16" t="str">
        <x:v>亿元</x:v>
      </x:c>
      <x:c r="I59" s="16" t="str">
        <x:v>公司业绩材料</x:v>
      </x:c>
      <x:c r="J59" s="16" t="str">
        <x:v>中高</x:v>
      </x:c>
      <x:c r="K59" s="73" t="str">
        <x:v>G-CMCC-CAPEX-26</x:v>
      </x:c>
      <x:c r="L59" s="74" t="str">
        <x:v>https://www.chinamobileltd.com/sc/ir/latestresults.php</x:v>
      </x:c>
      <x:c r="M59" s="16" t="str">
        <x:v>总CapEx约136.6bn；算力网为明确投向，不将整体通信投资归为AI</x:v>
      </x:c>
    </x:row>
    <x:row r="60" ht="15" hidden="0" customHeight="1">
      <x:c r="A60" s="72" t="str">
        <x:v>S56</x:v>
      </x:c>
      <x:c r="B60" s="16" t="str">
        <x:v>中国运营商</x:v>
      </x:c>
      <x:c r="C60" s="16" t="str">
        <x:v>中国电信</x:v>
      </x:c>
      <x:c r="D60" s="16" t="str">
        <x:v>2026-03</x:v>
      </x:c>
      <x:c r="E60" s="16" t="str">
        <x:v>CY2026E</x:v>
      </x:c>
      <x:c r="F60" s="16" t="str">
        <x:v>算力基础设施投资计划</x:v>
      </x:c>
      <x:c r="G60" s="16" t="str">
        <x:v>255</x:v>
      </x:c>
      <x:c r="H60" s="16" t="str">
        <x:v>亿元</x:v>
      </x:c>
      <x:c r="I60" s="16" t="str">
        <x:v>公司业绩材料</x:v>
      </x:c>
      <x:c r="J60" s="16" t="str">
        <x:v>高</x:v>
      </x:c>
      <x:c r="K60" s="73" t="str">
        <x:v>G-CT-CAPEX-26</x:v>
      </x:c>
      <x:c r="L60" s="74" t="str">
        <x:v>https://www.chinatelecom-h.com/tc/ir/presentations/annpre260324.pdf</x:v>
      </x:c>
      <x:c r="M60" s="16" t="str">
        <x:v>总CapEx计划73bn；算力基础设施占35%</x:v>
      </x:c>
    </x:row>
    <x:row r="61" ht="15" hidden="0" customHeight="1">
      <x:c r="A61" s="72" t="str">
        <x:v>S57</x:v>
      </x:c>
      <x:c r="B61" s="16" t="str">
        <x:v>中国运营商</x:v>
      </x:c>
      <x:c r="C61" s="16" t="str">
        <x:v>中国联通</x:v>
      </x:c>
      <x:c r="D61" s="16" t="str">
        <x:v>2026-03</x:v>
      </x:c>
      <x:c r="E61" s="16" t="str">
        <x:v>CY2026E</x:v>
      </x:c>
      <x:c r="F61" s="16" t="str">
        <x:v>算力投资计划</x:v>
      </x:c>
      <x:c r="G61" s="16" t="str">
        <x:v>&gt;175</x:v>
      </x:c>
      <x:c r="H61" s="16" t="str">
        <x:v>亿元</x:v>
      </x:c>
      <x:c r="I61" s="16" t="str">
        <x:v>公司年报</x:v>
      </x:c>
      <x:c r="J61" s="16" t="str">
        <x:v>高</x:v>
      </x:c>
      <x:c r="K61" s="73" t="str">
        <x:v>G-CU-CAPEX-26</x:v>
      </x:c>
      <x:c r="L61" s="74" t="str">
        <x:v>https://static.cninfo.com.cn/finalpage/2026-03-20/1225020077.PDF</x:v>
      </x:c>
      <x:c r="M61" s="16" t="str">
        <x:v>总CapEx约50bn；算力占比超过35%</x:v>
      </x:c>
    </x:row>
    <x:row r="62" ht="15" hidden="0" customHeight="1">
      <x:c r="A62" s="72" t="str">
        <x:v>S58</x:v>
      </x:c>
      <x:c r="B62" s="16" t="str">
        <x:v>中国金融租赁</x:v>
      </x:c>
      <x:c r="C62" s="16" t="str">
        <x:v>苏银金租/银海租赁</x:v>
      </x:c>
      <x:c r="D62" s="16" t="str">
        <x:v>2026-06/07</x:v>
      </x:c>
      <x:c r="E62" s="16" t="str">
        <x:v>当期投放</x:v>
      </x:c>
      <x:c r="F62" s="16" t="str">
        <x:v>高性能服务器直租/超算回租</x:v>
      </x:c>
      <x:c r="G62" s="16" t="str">
        <x:v>69 + 11 + 21</x:v>
      </x:c>
      <x:c r="H62" s="16" t="str">
        <x:v>亿元</x:v>
      </x:c>
      <x:c r="I62" s="16" t="str">
        <x:v>机构披露+媒体</x:v>
      </x:c>
      <x:c r="J62" s="16" t="str">
        <x:v>中高</x:v>
      </x:c>
      <x:c r="K62" s="73" t="str">
        <x:v>G-CN-FINLEASE-SAMPLE</x:v>
      </x:c>
      <x:c r="L62" s="74" t="str">
        <x:v>https://www.cqleasing.com/news/show-11022.html</x:v>
      </x:c>
      <x:c r="M62" s="16" t="str">
        <x:v>只是已披露小样本；地方金租和售后回租项目大多不完整披露</x:v>
      </x:c>
    </x:row>
    <x:row r="63" ht="21.600000381469727" hidden="0" customHeight="1">
      <x:c r="A63" s="72" t="str">
        <x:v>S59</x:v>
      </x:c>
      <x:c r="B63" s="16" t="str">
        <x:v>中国算力投资</x:v>
      </x:c>
      <x:c r="C63" s="16" t="str">
        <x:v>产业调研</x:v>
      </x:c>
      <x:c r="D63" s="16" t="str">
        <x:v>2026-08</x:v>
      </x:c>
      <x:c r="E63" s="16" t="str">
        <x:v>2026E/2027E</x:v>
      </x:c>
      <x:c r="F63" s="16" t="str">
        <x:v>中国算力投资锚</x:v>
      </x:c>
      <x:c r="G63" s="16" t="str">
        <x:v>5,000 / 15,000</x:v>
      </x:c>
      <x:c r="H63" s="16" t="str">
        <x:v>亿元</x:v>
      </x:c>
      <x:c r="I63" s="16" t="str">
        <x:v>用户产业调研</x:v>
      </x:c>
      <x:c r="J63" s="16" t="str">
        <x:v>中</x:v>
      </x:c>
      <x:c r="K63" s="73" t="str">
        <x:v>G-USER-CN-COMPUTE-SURVEY</x:v>
      </x:c>
      <x:c r="L63" s="74" t="str">
        <x:v>用户本轮输入</x:v>
      </x:c>
      <x:c r="M63" s="16" t="str">
        <x:v>作为拟合锚，非公开公司指引；需持续确认是否含多年合同、IDC配套和境外资产</x:v>
      </x:c>
    </x:row>
    <x:row r="64" ht="21.600000381469727" hidden="0" customHeight="1">
      <x:c r="A64" s="72" t="str">
        <x:v>S60</x:v>
      </x:c>
      <x:c r="B64" s="16" t="str">
        <x:v>应用回报</x:v>
      </x:c>
      <x:c r="C64" s="16" t="str">
        <x:v>Gartner</x:v>
      </x:c>
      <x:c r="D64" s="16" t="str">
        <x:v>2026-05-19</x:v>
      </x:c>
      <x:c r="E64" s="16" t="str">
        <x:v>2026E/2027E</x:v>
      </x:c>
      <x:c r="F64" s="16" t="str">
        <x:v>全球AI支出</x:v>
      </x:c>
      <x:c r="G64" s="16" t="str">
        <x:v>2026总额25,956.7亿美元；其中非基础设施约11,641.6亿美元</x:v>
      </x:c>
      <x:c r="H64" s="16" t="str">
        <x:v>亿美元</x:v>
      </x:c>
      <x:c r="I64" s="16" t="str">
        <x:v>研究机构预测</x:v>
      </x:c>
      <x:c r="J64" s="16" t="str">
        <x:v>中高</x:v>
      </x:c>
      <x:c r="K64" s="73" t="str">
        <x:v>G-GARTNER-AI-SPEND-2026</x:v>
      </x:c>
      <x:c r="L64" s="74" t="str">
        <x:v>https://www.gartner.com/en/newsroom/press-releases/2026-05-19-gartner-forecasts-worldwide-ai-spending-to-grow-47-percent-in-2026</x:v>
      </x:c>
      <x:c r="M64" s="16" t="str">
        <x:v>用于约束应用与服务收入上限；不能与本模型直接相加，因为含服务、软件、模型等多层口径</x:v>
      </x:c>
    </x:row>
    <x:row r="65" ht="21.600000381469727" hidden="0" customHeight="1">
      <x:c r="A65" s="72" t="str">
        <x:v>S61</x:v>
      </x:c>
      <x:c r="B65" s="16" t="str">
        <x:v>应用回报</x:v>
      </x:c>
      <x:c r="C65" s="16" t="str">
        <x:v>Goldman Sachs Research</x:v>
      </x:c>
      <x:c r="D65" s="16" t="str">
        <x:v>2026-05-20</x:v>
      </x:c>
      <x:c r="E65" s="16" t="str">
        <x:v>2026—2030E</x:v>
      </x:c>
      <x:c r="F65" s="16" t="str">
        <x:v>全球Token消耗量</x:v>
      </x:c>
      <x:c r="G65" s="16" t="str">
        <x:v>2030年月消耗量120千万亿Token，较2026年增长24倍</x:v>
      </x:c>
      <x:c r="H65" s="16" t="str">
        <x:v>Token/月</x:v>
      </x:c>
      <x:c r="I65" s="16" t="str">
        <x:v>研究预测</x:v>
      </x:c>
      <x:c r="J65" s="16" t="str">
        <x:v>中</x:v>
      </x:c>
      <x:c r="K65" s="73" t="str">
        <x:v>G-GS-TOKEN-2030</x:v>
      </x:c>
      <x:c r="L65" s="74" t="str">
        <x:v>https://www.goldmansachs.com/insights/articles/ai-agents-forecast-to-boost-tech-cash-flow-as-usage-soars</x:v>
      </x:c>
      <x:c r="M65" s="16" t="str">
        <x:v>需求量高速增长但单位Token成本每年下降60%—70%，因此收入不能按Token量等比例外推</x:v>
      </x:c>
    </x:row>
    <x:row r="66" ht="21.600000381469727" hidden="0" customHeight="1">
      <x:c r="A66" s="72" t="str">
        <x:v>S62</x:v>
      </x:c>
      <x:c r="B66" s="16" t="str">
        <x:v>内部经济价值</x:v>
      </x:c>
      <x:c r="C66" s="16" t="str">
        <x:v>IBM Institute for Business Value</x:v>
      </x:c>
      <x:c r="D66" s="16" t="str">
        <x:v>2026-01-19</x:v>
      </x:c>
      <x:c r="E66" s="16" t="str">
        <x:v>2030E</x:v>
      </x:c>
      <x:c r="F66" s="16" t="str">
        <x:v>企业AI生产率提升</x:v>
      </x:c>
      <x:c r="G66" s="16" t="str">
        <x:v>42%；67%受访者预计兑现大部分生产率收益</x:v>
      </x:c>
      <x:c r="H66" s="16" t="str">
        <x:v>%</x:v>
      </x:c>
      <x:c r="I66" s="16" t="str">
        <x:v>2,007名高管调查</x:v>
      </x:c>
      <x:c r="J66" s="16" t="str">
        <x:v>中</x:v>
      </x:c>
      <x:c r="K66" s="73" t="str">
        <x:v>G-IBM-PRODUCTIVITY-2030</x:v>
      </x:c>
      <x:c r="L66" s="74" t="str">
        <x:v>https://newsroom.ibm.com/2026-01-19-ibm-study-ai-poised-to-drive-smarter-business-growth-through-2030</x:v>
      </x:c>
      <x:c r="M66" s="16" t="str">
        <x:v>用于约束内部效率价值兑现率；调查预期不是已实现财务结果</x:v>
      </x:c>
    </x:row>
    <x:row r="67" ht="21.600000381469727" hidden="0" customHeight="1">
      <x:c r="A67" s="72" t="str">
        <x:v>S63</x:v>
      </x:c>
      <x:c r="B67" s="16" t="str">
        <x:v>内部经济价值</x:v>
      </x:c>
      <x:c r="C67" s="16" t="str">
        <x:v>Deloitte</x:v>
      </x:c>
      <x:c r="D67" s="16" t="str">
        <x:v>2026</x:v>
      </x:c>
      <x:c r="E67" s="16" t="str">
        <x:v>当前</x:v>
      </x:c>
      <x:c r="F67" s="16" t="str">
        <x:v>企业AI成效</x:v>
      </x:c>
      <x:c r="G67" s="16" t="str">
        <x:v>66%报告效率/生产率提升；40%报告降本；20%已实现增收</x:v>
      </x:c>
      <x:c r="H67" s="16" t="str">
        <x:v>%</x:v>
      </x:c>
      <x:c r="I67" s="16" t="str">
        <x:v>3,235名企业领导者调查</x:v>
      </x:c>
      <x:c r="J67" s="16" t="str">
        <x:v>中</x:v>
      </x:c>
      <x:c r="K67" s="73" t="str">
        <x:v>G-DELOITTE-ENTERPRISE-AI-2026</x:v>
      </x:c>
      <x:c r="L67" s="74" t="str">
        <x:v>https://www.deloitte.com/us/en/what-we-do/capabilities/applied-artificial-intelligence/content/state-of-ai-in-the-enterprise.html</x:v>
      </x:c>
      <x:c r="M67" s="16" t="str">
        <x:v>支持把内部效率价值单列，但也说明收入兑现显著滞后于效率改善</x:v>
      </x:c>
    </x:row>
    <x:row r="68" ht="15" hidden="0" customHeight="1">
      <x:c r="A68" s="72" t="str">
        <x:v>S64</x:v>
      </x:c>
      <x:c r="B68" s="16" t="str">
        <x:v>基建</x:v>
      </x:c>
      <x:c r="C68" s="16" t="str">
        <x:v>Microsoft</x:v>
      </x:c>
      <x:c r="D68" s="16" t="str">
        <x:v>2026-04-29</x:v>
      </x:c>
      <x:c r="E68" s="16" t="str">
        <x:v>CY2026E</x:v>
      </x:c>
      <x:c r="F68" s="16" t="str">
        <x:v>资本开支口径</x:v>
      </x:c>
      <x:c r="G68" s="16" t="str">
        <x:v>约1,900亿美元</x:v>
      </x:c>
      <x:c r="H68" s="16" t="str">
        <x:v>亿美元</x:v>
      </x:c>
      <x:c r="I68" s="16" t="str">
        <x:v>公司业绩会</x:v>
      </x:c>
      <x:c r="J68" s="16" t="str">
        <x:v>高</x:v>
      </x:c>
      <x:c r="K68" s="73" t="str">
        <x:v>G-MS-CY26-CAPEX</x:v>
      </x:c>
      <x:c r="L68" s="74" t="str">
        <x:v>https://www.microsoft.com/en-us/investor/events/fy-2026/earnings-fy-2026-q3</x:v>
      </x:c>
      <x:c r="M68" s="16" t="str">
        <x:v>公司采用2026自然年口径；后续会计分类变化需另做经济资产口径桥接</x:v>
      </x:c>
    </x:row>
    <x:row r="69" ht="21.600000381469727" hidden="0" customHeight="1">
      <x:c r="A69" s="72" t="str">
        <x:v>S65</x:v>
      </x:c>
      <x:c r="B69" s="16" t="str">
        <x:v>基建</x:v>
      </x:c>
      <x:c r="C69" s="16" t="str">
        <x:v>Microsoft</x:v>
      </x:c>
      <x:c r="D69" s="16" t="str">
        <x:v>2026-07</x:v>
      </x:c>
      <x:c r="E69" s="16" t="str">
        <x:v>CY2026E</x:v>
      </x:c>
      <x:c r="F69" s="16" t="str">
        <x:v>资本开支会计口径更新</x:v>
      </x:c>
      <x:c r="G69" s="16" t="str">
        <x:v>约1,750亿美元；最近季度约410亿美元</x:v>
      </x:c>
      <x:c r="H69" s="16" t="str">
        <x:v>亿美元</x:v>
      </x:c>
      <x:c r="I69" s="16" t="str">
        <x:v>公司业绩会</x:v>
      </x:c>
      <x:c r="J69" s="16" t="str">
        <x:v>高</x:v>
      </x:c>
      <x:c r="K69" s="73" t="str">
        <x:v>G-MS-CY26-LEASE-RECLASS</x:v>
      </x:c>
      <x:c r="L69" s="74" t="str">
        <x:v>https://www.microsoft.com/en-us/investor/events/fy-2026/earnings-fy-2026-q4</x:v>
      </x:c>
      <x:c r="M69" s="16" t="str">
        <x:v>会计口径变化主要来自自建与租赁分类调整；经济资产口径需按当年起租和交付进度还原</x:v>
      </x:c>
    </x:row>
    <x:row r="70" ht="21.600000381469727" hidden="0" customHeight="1">
      <x:c r="A70" s="72" t="str">
        <x:v>S66</x:v>
      </x:c>
      <x:c r="B70" s="16" t="str">
        <x:v>闭源模型应用</x:v>
      </x:c>
      <x:c r="C70" s="16" t="str">
        <x:v>TickerTrends</x:v>
      </x:c>
      <x:c r="D70" s="16" t="str">
        <x:v>2026-07</x:v>
      </x:c>
      <x:c r="E70" s="16" t="str">
        <x:v>最新月收入年化值</x:v>
      </x:c>
      <x:c r="F70" s="16" t="str">
        <x:v>模型公司年度收入运行率</x:v>
      </x:c>
      <x:c r="G70" s="16" t="str">
        <x:v>Anthropic 741亿美元；OpenAI 413亿美元</x:v>
      </x:c>
      <x:c r="H70" s="16" t="str">
        <x:v>亿美元</x:v>
      </x:c>
      <x:c r="I70" s="16" t="str">
        <x:v>第三方交易与支付数据估计</x:v>
      </x:c>
      <x:c r="J70" s="16" t="str">
        <x:v>中</x:v>
      </x:c>
      <x:c r="K70" s="73" t="str">
        <x:v>G-TICKERTRENDS-ARR-2026</x:v>
      </x:c>
      <x:c r="L70" s="74" t="str">
        <x:v>https://blog.tickertrends.io/p/anthropic-vs-openai-arr-tracking</x:v>
      </x:c>
      <x:c r="M70" s="16" t="str">
        <x:v>用于跟踪当前月度收入速度；不是全年确认收入，模型按月度爬坡积分</x:v>
      </x:c>
    </x:row>
    <x:row r="71" ht="21.600000381469727" hidden="0" customHeight="1">
      <x:c r="A71" s="72" t="str">
        <x:v>S67</x:v>
      </x:c>
      <x:c r="B71" s="16" t="str">
        <x:v>开放模型应用</x:v>
      </x:c>
      <x:c r="C71" s="16" t="str">
        <x:v>Linux Foundation / Vercel</x:v>
      </x:c>
      <x:c r="D71" s="16" t="str">
        <x:v>2026-07</x:v>
      </x:c>
      <x:c r="E71" s="16" t="str">
        <x:v>企业采用与模型调用</x:v>
      </x:c>
      <x:c r="F71" s="16" t="str">
        <x:v>开放权重模型企业采用/调用占比</x:v>
      </x:c>
      <x:c r="G71" s="16" t="str">
        <x:v>63%企业使用开放模型；开放权重模型调用量占比29%</x:v>
      </x:c>
      <x:c r="H71" s="16" t="str">
        <x:v>%</x:v>
      </x:c>
      <x:c r="I71" s="16" t="str">
        <x:v>行业调查与平台样本</x:v>
      </x:c>
      <x:c r="J71" s="16" t="str">
        <x:v>中</x:v>
      </x:c>
      <x:c r="K71" s="73" t="str">
        <x:v>G-OPEN-MODEL-ADOPTION-2026</x:v>
      </x:c>
      <x:c r="L71" s="74" t="str">
        <x:v>https://www.linuxfoundation.org/research/economic-impacts-of-open-source-AI?hsLang=en</x:v>
      </x:c>
      <x:c r="M71" s="16" t="str">
        <x:v>开放权重模型本身通常免费，价值主要由托管推理、私有部署、微调工具和支持服务捕获</x:v>
      </x:c>
    </x:row>
    <x:row r="72" ht="21.600000381469727" hidden="0" customHeight="1">
      <x:c r="A72" s="72" t="str">
        <x:v>S68</x:v>
      </x:c>
      <x:c r="B72" s="16" t="str">
        <x:v>开放模型应用</x:v>
      </x:c>
      <x:c r="C72" s="16" t="str">
        <x:v>Fireworks AI</x:v>
      </x:c>
      <x:c r="D72" s="16" t="str">
        <x:v>2026-07</x:v>
      </x:c>
      <x:c r="E72" s="16" t="str">
        <x:v>当前业务规模</x:v>
      </x:c>
      <x:c r="F72" s="16" t="str">
        <x:v>开放模型托管推理业务规模</x:v>
      </x:c>
      <x:c r="G72" s="16" t="str">
        <x:v>年化收入超过10亿美元；每日处理超过40万亿Token</x:v>
      </x:c>
      <x:c r="H72" s="16" t="str">
        <x:v>亿美元/Token</x:v>
      </x:c>
      <x:c r="I72" s="16" t="str">
        <x:v>公司披露</x:v>
      </x:c>
      <x:c r="J72" s="16" t="str">
        <x:v>中高</x:v>
      </x:c>
      <x:c r="K72" s="73" t="str">
        <x:v>G-FIREWORKS-RUNRATE-2026</x:v>
      </x:c>
      <x:c r="L72" s="74" t="str">
        <x:v>https://fireworks.ai/blog/series-d-announcement</x:v>
      </x:c>
      <x:c r="M72" s="16" t="str">
        <x:v>用于验证开放模型托管推理已形成独立收入池，不与云AI和应用收入重复加总</x:v>
      </x:c>
    </x:row>
    <x:row r="73" ht="21.600000381469727" hidden="0" customHeight="1">
      <x:c r="A73" s="72" t="str">
        <x:v>S69</x:v>
      </x:c>
      <x:c r="B73" s="16" t="str">
        <x:v>基建</x:v>
      </x:c>
      <x:c r="C73" s="16" t="str">
        <x:v>SpaceX/xAI</x:v>
      </x:c>
      <x:c r="D73" s="16" t="str">
        <x:v>2026-03-31</x:v>
      </x:c>
      <x:c r="E73" s="16" t="str">
        <x:v>2026Q1</x:v>
      </x:c>
      <x:c r="F73" s="16" t="str">
        <x:v>分部资本开支</x:v>
      </x:c>
      <x:c r="G73" s="16" t="str">
        <x:v>AI分部77.23亿美元；全公司约101亿美元</x:v>
      </x:c>
      <x:c r="H73" s="16" t="str">
        <x:v>亿美元</x:v>
      </x:c>
      <x:c r="I73" s="16" t="str">
        <x:v>公司监管文件</x:v>
      </x:c>
      <x:c r="J73" s="16" t="str">
        <x:v>高</x:v>
      </x:c>
      <x:c r="K73" s="73" t="str">
        <x:v>G-SPACEX-Q1-26-CAPEX</x:v>
      </x:c>
      <x:c r="L73" s="74" t="str">
        <x:v>https://www.sec.gov/Archives/edgar/data/1181412/000162828026039276/spaceexplorationtechnologi.htm</x:v>
      </x:c>
      <x:c r="M73" s="16" t="str">
        <x:v>AI分部已成为主要资本开支来源；2026E按项目进度估算全公司约400亿美元资本开支</x:v>
      </x:c>
    </x:row>
    <x:row r="74" ht="32.400001525878906" hidden="0" customHeight="1">
      <x:c r="A74" s="72" t="str">
        <x:v>S70</x:v>
      </x:c>
      <x:c r="B74" s="16" t="str">
        <x:v>基建</x:v>
      </x:c>
      <x:c r="C74" s="16" t="str">
        <x:v>SpaceX/xAI</x:v>
      </x:c>
      <x:c r="D74" s="16" t="str">
        <x:v>2026-08</x:v>
      </x:c>
      <x:c r="E74" s="16" t="str">
        <x:v>2027E</x:v>
      </x:c>
      <x:c r="F74" s="16" t="str">
        <x:v>AI数据中心容量目标</x:v>
      </x:c>
      <x:c r="G74" s="16" t="str">
        <x:v>2027年末接近10GW，约为当前7倍</x:v>
      </x:c>
      <x:c r="H74" s="16" t="str">
        <x:v>GW</x:v>
      </x:c>
      <x:c r="I74" s="16" t="str">
        <x:v>管理层内部讲话报道</x:v>
      </x:c>
      <x:c r="J74" s="16" t="str">
        <x:v>中低</x:v>
      </x:c>
      <x:c r="K74" s="73" t="str">
        <x:v>G-SPACEX-XAI-10GW-27</x:v>
      </x:c>
      <x:c r="L74" s="74" t="str">
        <x:v>https://www.tomshardware.com/tech-industry/artificial-intelligence/elon-musk-says-xai-will-increase-data-center-capacity-7x-by-2027-targeting-10-gigawatts-of-compute-up-to-usd500-billion-in-revenue-by-the-end-of-next-year</x:v>
      </x:c>
      <x:c r="M74" s="16" t="str">
        <x:v>不是正式资本开支指引；Base只采用当前年化速度约2.5倍并加非AI分部，约900亿美元；10GW满额执行只进入Bull情景</x:v>
      </x:c>
    </x:row>
    <x:row r="75" ht="21.600000381469727" hidden="0" customHeight="1">
      <x:c r="A75" s="72" t="str">
        <x:v>S71</x:v>
      </x:c>
      <x:c r="B75" s="16" t="str">
        <x:v>闭源模型与AI应用</x:v>
      </x:c>
      <x:c r="C75" s="16" t="str">
        <x:v>SpaceX</x:v>
      </x:c>
      <x:c r="D75" s="16" t="str">
        <x:v>2026-03-31</x:v>
      </x:c>
      <x:c r="E75" s="16" t="str">
        <x:v>2026Q1年化</x:v>
      </x:c>
      <x:c r="F75" s="16" t="str">
        <x:v>AI分部收入</x:v>
      </x:c>
      <x:c r="G75" s="16" t="str">
        <x:v>32.72亿美元</x:v>
      </x:c>
      <x:c r="H75" s="16" t="str">
        <x:v>亿美元</x:v>
      </x:c>
      <x:c r="I75" s="16" t="str">
        <x:v>公司监管文件</x:v>
      </x:c>
      <x:c r="J75" s="16" t="str">
        <x:v>高</x:v>
      </x:c>
      <x:c r="K75" s="73" t="str">
        <x:v>G-SPACEX-AI-REVENUE-Q1-26</x:v>
      </x:c>
      <x:c r="L75" s="74" t="str">
        <x:v>https://www.sec.gov/Archives/edgar/data/1181412/000162828026040364/spaceexplorationtechnologib.htm</x:v>
      </x:c>
      <x:c r="M75" s="16" t="str">
        <x:v>AI分部含X广告、Grok订阅和算力服务，不等于纯模型ARR；以季度收入8.18亿美元乘4得到年化值</x:v>
      </x:c>
    </x:row>
    <x:row r="76" ht="21.600000381469727" hidden="0" customHeight="1">
      <x:c r="A76" s="72" t="str">
        <x:v>S72</x:v>
      </x:c>
      <x:c r="B76" s="16" t="str">
        <x:v>AI原生应用</x:v>
      </x:c>
      <x:c r="C76" s="16" t="str">
        <x:v>Cursor</x:v>
      </x:c>
      <x:c r="D76" s="16" t="str">
        <x:v>2026-03-02</x:v>
      </x:c>
      <x:c r="E76" s="16" t="str">
        <x:v>最新月收入年化值</x:v>
      </x:c>
      <x:c r="F76" s="16" t="str">
        <x:v>年度经常性收入</x:v>
      </x:c>
      <x:c r="G76" s="16" t="str">
        <x:v>20亿美元</x:v>
      </x:c>
      <x:c r="H76" s="16" t="str">
        <x:v>亿美元</x:v>
      </x:c>
      <x:c r="I76" s="16" t="str">
        <x:v>媒体对公司经营数据的报道</x:v>
      </x:c>
      <x:c r="J76" s="16" t="str">
        <x:v>中高</x:v>
      </x:c>
      <x:c r="K76" s="73" t="str">
        <x:v>G-CURSOR-ARR-2026</x:v>
      </x:c>
      <x:c r="L76" s="74" t="str">
        <x:v>https://www.bloomberg.com/news/articles/2026-03-02/cursor-recurring-revenue-doubles-in-three-months-to-2-billion</x:v>
      </x:c>
      <x:c r="M76" s="16" t="str">
        <x:v>用于验证AI原生软件收入斜率；年度经常性收入不等于当年确认收入</x:v>
      </x:c>
    </x:row>
    <x:row r="77" ht="21.600000381469727" hidden="0" customHeight="1">
      <x:c r="A77" s="72" t="str">
        <x:v>S73</x:v>
      </x:c>
      <x:c r="B77" s="16" t="str">
        <x:v>AI原生应用</x:v>
      </x:c>
      <x:c r="C77" s="16" t="str">
        <x:v>Glean</x:v>
      </x:c>
      <x:c r="D77" s="16" t="str">
        <x:v>2026-05</x:v>
      </x:c>
      <x:c r="E77" s="16" t="str">
        <x:v>当前</x:v>
      </x:c>
      <x:c r="F77" s="16" t="str">
        <x:v>年度经常性收入</x:v>
      </x:c>
      <x:c r="G77" s="16" t="str">
        <x:v>3亿美元</x:v>
      </x:c>
      <x:c r="H77" s="16" t="str">
        <x:v>亿美元</x:v>
      </x:c>
      <x:c r="I77" s="16" t="str">
        <x:v>公司披露</x:v>
      </x:c>
      <x:c r="J77" s="16" t="str">
        <x:v>高</x:v>
      </x:c>
      <x:c r="K77" s="73" t="str">
        <x:v>G-GLEAN-ARR-2026</x:v>
      </x:c>
      <x:c r="L77" s="74" t="str">
        <x:v>https://www.glean.com/press/glean-surpasses-300m-arr-unrivaled-enterprise-context-fuels-ai-adoption</x:v>
      </x:c>
      <x:c r="M77" s="16" t="str">
        <x:v>15个月内由1亿美元增至3亿美元，用于验证企业知识检索与智能体应用的商业化速度</x:v>
      </x:c>
    </x:row>
    <x:row r="78" ht="15" hidden="0" customHeight="1">
      <x:c r="A78" s="72" t="str">
        <x:v>S74</x:v>
      </x:c>
      <x:c r="B78" s="16" t="str">
        <x:v>闭源模型应用</x:v>
      </x:c>
      <x:c r="C78" s="16" t="str">
        <x:v>Cohere</x:v>
      </x:c>
      <x:c r="D78" s="16" t="str">
        <x:v>2026-02</x:v>
      </x:c>
      <x:c r="E78" s="16" t="str">
        <x:v>2025年末</x:v>
      </x:c>
      <x:c r="F78" s="16" t="str">
        <x:v>年度经常性收入</x:v>
      </x:c>
      <x:c r="G78" s="16" t="str">
        <x:v>2.4亿美元</x:v>
      </x:c>
      <x:c r="H78" s="16" t="str">
        <x:v>亿美元</x:v>
      </x:c>
      <x:c r="I78" s="16" t="str">
        <x:v>投资者材料经媒体报道</x:v>
      </x:c>
      <x:c r="J78" s="16" t="str">
        <x:v>中</x:v>
      </x:c>
      <x:c r="K78" s="73" t="str">
        <x:v>G-COHERE-ARR-2025</x:v>
      </x:c>
      <x:c r="L78" s="74" t="str">
        <x:v>https://techcrunch.com/2026/02/13/coheres-240m-year-sets-stage-for-ipo/</x:v>
      </x:c>
      <x:c r="M78" s="16" t="str">
        <x:v>企业模型收入样本；需与Cohere自有云成本及渠道转售收入去重</x:v>
      </x:c>
    </x:row>
    <x:row r="79" ht="15" hidden="0" customHeight="1">
      <x:c r="A79" s="72" t="str">
        <x:v>S75</x:v>
      </x:c>
      <x:c r="B79" s="16" t="str">
        <x:v>AI原生应用</x:v>
      </x:c>
      <x:c r="C79" s="16" t="str">
        <x:v>Replit</x:v>
      </x:c>
      <x:c r="D79" s="16" t="str">
        <x:v>2026-04</x:v>
      </x:c>
      <x:c r="E79" s="16" t="str">
        <x:v>最新月收入年化值</x:v>
      </x:c>
      <x:c r="F79" s="16" t="str">
        <x:v>年度收入运行率</x:v>
      </x:c>
      <x:c r="G79" s="16" t="str">
        <x:v>5.25亿美元</x:v>
      </x:c>
      <x:c r="H79" s="16" t="str">
        <x:v>亿美元</x:v>
      </x:c>
      <x:c r="I79" s="16" t="str">
        <x:v>第三方研究估计</x:v>
      </x:c>
      <x:c r="J79" s="16" t="str">
        <x:v>中低</x:v>
      </x:c>
      <x:c r="K79" s="73" t="str">
        <x:v>G-REPLIT-RUNRATE-2026</x:v>
      </x:c>
      <x:c r="L79" s="74" t="str">
        <x:v>https://sacra.com/research/replit-passes-500m-year/</x:v>
      </x:c>
      <x:c r="M79" s="16" t="str">
        <x:v>Sacra估计值，不是公司审计收入；用作AI编程应用高频样本而非硬锚</x:v>
      </x:c>
    </x:row>
    <x:row r="80" ht="15" hidden="0" customHeight="1">
      <x:c r="A80" s="72" t="str">
        <x:v>S76</x:v>
      </x:c>
      <x:c r="B80" s="16" t="str">
        <x:v>AI原生应用</x:v>
      </x:c>
      <x:c r="C80" s="16" t="str">
        <x:v>Sierra</x:v>
      </x:c>
      <x:c r="D80" s="16" t="str">
        <x:v>2026-02-06</x:v>
      </x:c>
      <x:c r="E80" s="16" t="str">
        <x:v>当前</x:v>
      </x:c>
      <x:c r="F80" s="16" t="str">
        <x:v>年度经常性收入</x:v>
      </x:c>
      <x:c r="G80" s="16" t="str">
        <x:v>1.5亿美元</x:v>
      </x:c>
      <x:c r="H80" s="16" t="str">
        <x:v>亿美元</x:v>
      </x:c>
      <x:c r="I80" s="16" t="str">
        <x:v>公司披露</x:v>
      </x:c>
      <x:c r="J80" s="16" t="str">
        <x:v>高</x:v>
      </x:c>
      <x:c r="K80" s="73" t="str">
        <x:v>G-SIERRA-ARR-2026</x:v>
      </x:c>
      <x:c r="L80" s="74" t="str">
        <x:v>https://sierra.ai/blog/corporate</x:v>
      </x:c>
      <x:c r="M80" s="16" t="str">
        <x:v>企业客服智能体收入样本；公司采用按结果付费模式，需与合同额和实际交付收入区分</x:v>
      </x:c>
    </x:row>
    <x:row r="81" ht="21.600000381469727" hidden="0" customHeight="1">
      <x:c r="A81" s="72" t="str">
        <x:v>S77</x:v>
      </x:c>
      <x:c r="B81" s="16" t="str">
        <x:v>中国租赁</x:v>
      </x:c>
      <x:c r="C81" s="16" t="str">
        <x:v>中贝通信</x:v>
      </x:c>
      <x:c r="D81" s="16" t="str">
        <x:v>2025-04-22</x:v>
      </x:c>
      <x:c r="E81" s="16" t="str">
        <x:v>4年</x:v>
      </x:c>
      <x:c r="F81" s="16" t="str">
        <x:v>算力服务合同</x:v>
      </x:c>
      <x:c r="G81" s="16" t="str">
        <x:v>4.4064亿元</x:v>
      </x:c>
      <x:c r="H81" s="16" t="str">
        <x:v>亿元</x:v>
      </x:c>
      <x:c r="I81" s="16" t="str">
        <x:v>公司公告镜像</x:v>
      </x:c>
      <x:c r="J81" s="16" t="str">
        <x:v>中高</x:v>
      </x:c>
      <x:c r="K81" s="73" t="str">
        <x:v>G-ZHBEI-2025-022</x:v>
      </x:c>
      <x:c r="L81" s="74" t="str">
        <x:v>https://vip.stock.finance.sina.com.cn/corp/view/vCB_AllBulletinDetail.php?CompanyCode=80377714&amp;gather=1&amp;id=10913426</x:v>
      </x:c>
      <x:c r="M81" s="16" t="str">
        <x:v>合同额是四年算力服务收入，不等于当年资产投资；样本仅用于校验合同额与资产额关系</x:v>
      </x:c>
    </x:row>
    <x:row r="82" ht="21.600000381469727" hidden="0" customHeight="1">
      <x:c r="A82" s="72" t="str">
        <x:v>S78</x:v>
      </x:c>
      <x:c r="B82" s="16" t="str">
        <x:v>中国租赁</x:v>
      </x:c>
      <x:c r="C82" s="16" t="str">
        <x:v>弘信电子</x:v>
      </x:c>
      <x:c r="D82" s="16" t="str">
        <x:v>2026-04</x:v>
      </x:c>
      <x:c r="E82" s="16" t="str">
        <x:v>2025年</x:v>
      </x:c>
      <x:c r="F82" s="16" t="str">
        <x:v>算力及相关业务收入</x:v>
      </x:c>
      <x:c r="G82" s="16" t="str">
        <x:v>27.8808亿元</x:v>
      </x:c>
      <x:c r="H82" s="16" t="str">
        <x:v>亿元</x:v>
      </x:c>
      <x:c r="I82" s="16" t="str">
        <x:v>公司年度报告</x:v>
      </x:c>
      <x:c r="J82" s="16" t="str">
        <x:v>高</x:v>
      </x:c>
      <x:c r="K82" s="73" t="str">
        <x:v>G-HONGLIN-2025-ANNUAL</x:v>
      </x:c>
      <x:c r="L82" s="74" t="str">
        <x:v>https://money.finance.sina.com.cn/corp/view/vCB_AllBulletinDetail.php?id=12253485&amp;stockid=300657</x:v>
      </x:c>
      <x:c r="M82" s="16" t="str">
        <x:v>收入包含服务器销售和算力服务，只以较低资产含量反推资产形成，避免把销售收入直接当资本开支</x:v>
      </x:c>
    </x:row>
    <x:row r="83" ht="21.600000381469727" hidden="0" customHeight="1">
      <x:c r="A83" s="72" t="str">
        <x:v>S79</x:v>
      </x:c>
      <x:c r="B83" s="16" t="str">
        <x:v>中国租赁</x:v>
      </x:c>
      <x:c r="C83" s="16" t="str">
        <x:v>首都在线等长尾算力运营商</x:v>
      </x:c>
      <x:c r="D83" s="16" t="str">
        <x:v>2026-05-11</x:v>
      </x:c>
      <x:c r="E83" s="16" t="str">
        <x:v>2026E</x:v>
      </x:c>
      <x:c r="F83" s="16" t="str">
        <x:v>智算云扩容与长尾资产池</x:v>
      </x:c>
      <x:c r="G83" s="16" t="str">
        <x:v>研究估计，主体样本默认不直接加总</x:v>
      </x:c>
      <x:c r="H83" s="16" t="str">
        <x:v>—</x:v>
      </x:c>
      <x:c r="I83" s="16" t="str">
        <x:v>交易所披露与研究汇总</x:v>
      </x:c>
      <x:c r="J83" s="16" t="str">
        <x:v>低</x:v>
      </x:c>
      <x:c r="K83" s="73" t="str">
        <x:v>G-CHINA-LONGTAIL-CLOUD-2026</x:v>
      </x:c>
      <x:c r="L83" s="74" t="str">
        <x:v>https://disc.static.szse.cn/download/disc/disk03/finalpage/2026-05-11/cd8450e3-27fc-46cd-ade2-329c5f9b7e46.PDF</x:v>
      </x:c>
      <x:c r="M83" s="16" t="str">
        <x:v>用于识别未被上市大厂覆盖的长尾主体；正式进入总量前仍需逐公司核对资产增加、使用权资产和融资租赁</x:v>
      </x:c>
    </x:row>
    <x:row r="84" ht="15" hidden="0" customHeight="1">
      <x:c r="A84" s="72" t="str">
        <x:v>S80</x:v>
      </x:c>
      <x:c r="B84" s="16" t="str">
        <x:v>中国大厂资本开支</x:v>
      </x:c>
      <x:c r="C84" s="16" t="str">
        <x:v>阿里巴巴</x:v>
      </x:c>
      <x:c r="D84" s="16" t="str">
        <x:v>2026-06-18</x:v>
      </x:c>
      <x:c r="E84" s="16" t="str">
        <x:v>FY2025实际</x:v>
      </x:c>
      <x:c r="F84" s="16" t="str">
        <x:v>资本性支出</x:v>
      </x:c>
      <x:c r="G84" s="16" t="str">
        <x:v>859.72 / 118.47</x:v>
      </x:c>
      <x:c r="H84" s="16" t="str">
        <x:v>亿元 / 亿美元</x:v>
      </x:c>
      <x:c r="I84" s="16" t="str">
        <x:v>公司年度报告</x:v>
      </x:c>
      <x:c r="J84" s="16" t="str">
        <x:v>高</x:v>
      </x:c>
      <x:c r="K84" s="73" t="str">
        <x:v>G-BABA-FY25-CAPEX-ACTUAL</x:v>
      </x:c>
      <x:c r="L84" s="74" t="str">
        <x:v>https://www.hkexnews.hk/listedco/listconews/sehk/2026/0618/2026061800844.pdf</x:v>
      </x:c>
      <x:c r="M84" s="16" t="str">
        <x:v>按公司报告年度列入历史图；阿里巴巴财年截至3月，不能与自然年预测直接当作同口径同比</x:v>
      </x:c>
    </x:row>
    <x:row r="85" ht="21.600000381469727" hidden="0" customHeight="1">
      <x:c r="A85" s="72" t="str">
        <x:v>S81</x:v>
      </x:c>
      <x:c r="B85" s="16" t="str">
        <x:v>中国大厂资本开支</x:v>
      </x:c>
      <x:c r="C85" s="16" t="str">
        <x:v>腾讯</x:v>
      </x:c>
      <x:c r="D85" s="16" t="str">
        <x:v>2026-03-18</x:v>
      </x:c>
      <x:c r="E85" s="16" t="str">
        <x:v>CY2025实际</x:v>
      </x:c>
      <x:c r="F85" s="16" t="str">
        <x:v>资本性支出</x:v>
      </x:c>
      <x:c r="G85" s="16" t="str">
        <x:v>792</x:v>
      </x:c>
      <x:c r="H85" s="16" t="str">
        <x:v>亿元</x:v>
      </x:c>
      <x:c r="I85" s="16" t="str">
        <x:v>公司年度业绩</x:v>
      </x:c>
      <x:c r="J85" s="16" t="str">
        <x:v>高</x:v>
      </x:c>
      <x:c r="K85" s="73" t="str">
        <x:v>G-TENCENT-CY25-CAPEX-ACTUAL</x:v>
      </x:c>
      <x:c r="L85" s="74" t="str">
        <x:v>https://static.www.tencent.com/uploads/2026/03/18/2804dbdae364ca25b82d21bc8304f1d3.pdf</x:v>
      </x:c>
      <x:c r="M85" s="16" t="str">
        <x:v>以模型统一汇率7.1人民币/美元换算为约111.55亿美元</x:v>
      </x:c>
    </x:row>
    <x:row r="86" ht="21.600000381469727" hidden="0" customHeight="1">
      <x:c r="A86" s="72" t="str">
        <x:v>S82</x:v>
      </x:c>
      <x:c r="B86" s="16" t="str">
        <x:v>中国大厂资本开支</x:v>
      </x:c>
      <x:c r="C86" s="16" t="str">
        <x:v>百度</x:v>
      </x:c>
      <x:c r="D86" s="16" t="str">
        <x:v>2026-02-26</x:v>
      </x:c>
      <x:c r="E86" s="16" t="str">
        <x:v>CY2025实际</x:v>
      </x:c>
      <x:c r="F86" s="16" t="str">
        <x:v>资本性支出</x:v>
      </x:c>
      <x:c r="G86" s="16" t="str">
        <x:v>120.73 / 17.26</x:v>
      </x:c>
      <x:c r="H86" s="16" t="str">
        <x:v>亿元 / 亿美元</x:v>
      </x:c>
      <x:c r="I86" s="16" t="str">
        <x:v>公司年度业绩</x:v>
      </x:c>
      <x:c r="J86" s="16" t="str">
        <x:v>高</x:v>
      </x:c>
      <x:c r="K86" s="73" t="str">
        <x:v>G-BAIDU-CY25-CAPEX-ACTUAL</x:v>
      </x:c>
      <x:c r="L86" s="74" t="str">
        <x:v>https://ir.baidu.com/news-releases/news-release-details/baidu-announces-fourth-quarter-and-fiscal-year-2025-results/</x:v>
      </x:c>
      <x:c r="M86" s="16" t="str">
        <x:v>按公司披露美元值折算为约17.26亿美元并列入历史图</x:v>
      </x:c>
    </x:row>
    <x:row r="87" ht="21.600000381469727" hidden="0" customHeight="1">
      <x:c r="A87" s="72" t="str">
        <x:v>S83</x:v>
      </x:c>
      <x:c r="B87" s="16" t="str">
        <x:v>基建租赁</x:v>
      </x:c>
      <x:c r="C87" s="16" t="str">
        <x:v>Microsoft</x:v>
      </x:c>
      <x:c r="D87" s="16" t="str">
        <x:v>2026-07-29</x:v>
      </x:c>
      <x:c r="E87" s="16" t="str">
        <x:v>截至2026-06-30</x:v>
      </x:c>
      <x:c r="F87" s="16" t="str">
        <x:v>尚未起租的数据中心租赁承诺</x:v>
      </x:c>
      <x:c r="G87" s="16" t="str">
        <x:v>3,291</x:v>
      </x:c>
      <x:c r="H87" s="16" t="str">
        <x:v>亿美元</x:v>
      </x:c>
      <x:c r="I87" s="16" t="str">
        <x:v>公司10-K</x:v>
      </x:c>
      <x:c r="J87" s="16" t="str">
        <x:v>高</x:v>
      </x:c>
      <x:c r="K87" s="73" t="str">
        <x:v>G-MS-FY26-UNCOMMENCED-LEASES</x:v>
      </x:c>
      <x:c r="L87" s="74" t="str">
        <x:v>https://microsoft.gcs-web.com/sec-filings/sec-filing/10-k/0001193125-26-323660</x:v>
      </x:c>
      <x:c r="M87" s="16" t="str">
        <x:v>多年合同余额不能一次性当作当年资本开支；模型只按当年起租、资产交付和履约进度计入经济资产</x:v>
      </x:c>
    </x:row>
    <x:row r="88" ht="21.600000381469727" hidden="0" customHeight="1">
      <x:c r="A88" s="72" t="str">
        <x:v>S84</x:v>
      </x:c>
      <x:c r="B88" s="16" t="str">
        <x:v>主权AI</x:v>
      </x:c>
      <x:c r="C88" s="16" t="str">
        <x:v>NVIDIA</x:v>
      </x:c>
      <x:c r="D88" s="16" t="str">
        <x:v>2024-05-28</x:v>
      </x:c>
      <x:c r="E88" s="16" t="str">
        <x:v>CY2024展望</x:v>
      </x:c>
      <x:c r="F88" s="16" t="str">
        <x:v>主权AI收入机会</x:v>
      </x:c>
      <x:c r="G88" s="16" t="str">
        <x:v>接近高个位数十亿美元</x:v>
      </x:c>
      <x:c r="H88" s="16" t="str">
        <x:v>亿美元</x:v>
      </x:c>
      <x:c r="I88" s="16" t="str">
        <x:v>公司投资者材料</x:v>
      </x:c>
      <x:c r="J88" s="16" t="str">
        <x:v>高</x:v>
      </x:c>
      <x:c r="K88" s="73" t="str">
        <x:v>G-NVDA-SOVEREIGN-2024</x:v>
      </x:c>
      <x:c r="L88" s="74" t="str">
        <x:v>https://investor.nvidia.com/files/doc_financials/2025/q1/NVDA-F1Q25-Quarterly-Presentation-FINAL.pdf</x:v>
      </x:c>
      <x:c r="M88" s="16" t="str">
        <x:v>用于约束主权AI收入机会的早期规模；主权相关需求还会通过电信、本地云和项目公司承载</x:v>
      </x:c>
    </x:row>
    <x:row r="89" ht="21.600000381469727" hidden="0" customHeight="1">
      <x:c r="A89" s="72" t="str">
        <x:v>S85</x:v>
      </x:c>
      <x:c r="B89" s="16" t="str">
        <x:v>主权AI</x:v>
      </x:c>
      <x:c r="C89" s="16" t="str">
        <x:v>全球电信运营商</x:v>
      </x:c>
      <x:c r="D89" s="16" t="str">
        <x:v>2026-03</x:v>
      </x:c>
      <x:c r="E89" s="16" t="str">
        <x:v>当前</x:v>
      </x:c>
      <x:c r="F89" s="16" t="str">
        <x:v>已建设NVIDIA主权AI基础设施的运营商</x:v>
      </x:c>
      <x:c r="G89" s="16" t="str">
        <x:v>超过20家</x:v>
      </x:c>
      <x:c r="H89" s="16" t="str">
        <x:v>家</x:v>
      </x:c>
      <x:c r="I89" s="16" t="str">
        <x:v>NVIDIA GTC材料</x:v>
      </x:c>
      <x:c r="J89" s="16" t="str">
        <x:v>中高</x:v>
      </x:c>
      <x:c r="K89" s="73" t="str">
        <x:v>G-NVDA-SOVEREIGN-TELCO-2026</x:v>
      </x:c>
      <x:c r="L89" s="74" t="str">
        <x:v>https://www.nvidia.com/en-us/on-demand/session/gtc26-s82020/</x:v>
      </x:c>
      <x:c r="M89" s="16" t="str">
        <x:v>数量说明主权AI由政府、电信和本地云共同承载；不能据此直接计算资本开支占比</x:v>
      </x:c>
    </x:row>
    <x:row r="90" ht="21.600000381469727" hidden="0" customHeight="1">
      <x:c r="A90" s="72" t="str">
        <x:v>S86</x:v>
      </x:c>
      <x:c r="B90" s="16" t="str">
        <x:v>晶圆厂供给</x:v>
      </x:c>
      <x:c r="C90" s="16" t="str">
        <x:v>TSMC</x:v>
      </x:c>
      <x:c r="D90" s="16" t="str">
        <x:v>2026-07-16</x:v>
      </x:c>
      <x:c r="E90" s="16" t="str">
        <x:v>2026Q2 / CY2026E</x:v>
      </x:c>
      <x:c r="F90" s="16" t="str">
        <x:v>收入、先进制程占比与资本开支指引</x:v>
      </x:c>
      <x:c r="G90" s="16" t="str">
        <x:v>Q2收入402亿美元；先进制程77%；全年资本开支600—640亿美元</x:v>
      </x:c>
      <x:c r="H90" s="16" t="str">
        <x:v>亿美元 / %</x:v>
      </x:c>
      <x:c r="I90" s="16" t="str">
        <x:v>公司业绩与电话会</x:v>
      </x:c>
      <x:c r="J90" s="16" t="str">
        <x:v>高</x:v>
      </x:c>
      <x:c r="K90" s="73" t="str">
        <x:v>G-TSMC-2Q26-SUPPLY</x:v>
      </x:c>
      <x:c r="L90" s="74" t="str">
        <x:v>https://investor.tsmc.com/english/quarterly-results/2026/q2</x:v>
      </x:c>
      <x:c r="M90" s="16" t="str">
        <x:v>公司同时预计2026年美元收入增长略高于40%；资本开支中70%—80%用于先进制程、10%—20%用于先进封装等</x:v>
      </x:c>
    </x:row>
    <x:row r="91" ht="32.400001525878906" hidden="0" customHeight="1">
      <x:c r="A91" s="72" t="str">
        <x:v>S87</x:v>
      </x:c>
      <x:c r="B91" s="16" t="str">
        <x:v>晶圆厂供给</x:v>
      </x:c>
      <x:c r="C91" s="16" t="str">
        <x:v>TSMC</x:v>
      </x:c>
      <x:c r="D91" s="16" t="str">
        <x:v>2026-03</x:v>
      </x:c>
      <x:c r="E91" s="16" t="str">
        <x:v>CY2025实际 / 2024—2029目标</x:v>
      </x:c>
      <x:c r="F91" s="16" t="str">
        <x:v>收入与先进制程收入占比</x:v>
      </x:c>
      <x:c r="G91" s="16" t="str">
        <x:v>2025收入1224.2亿美元；先进制程占比74%；战略目标收入复合增速接近25%</x:v>
      </x:c>
      <x:c r="H91" s="16" t="str">
        <x:v>亿美元 / %</x:v>
      </x:c>
      <x:c r="I91" s="16" t="str">
        <x:v>公司年度报告与投资者网站</x:v>
      </x:c>
      <x:c r="J91" s="16" t="str">
        <x:v>高</x:v>
      </x:c>
      <x:c r="K91" s="73" t="str">
        <x:v>G-TSMC-2025-ANNUAL</x:v>
      </x:c>
      <x:c r="L91" s="74" t="str">
        <x:v>https://investor.tsmc.com/static/annualReports/2025/english/index.html</x:v>
      </x:c>
      <x:c r="M91" s="16" t="str">
        <x:v>先进制程定义为7nm及以下；收入和资本开支是上游供给校验，不与终端AI基建投资重复相加</x:v>
      </x:c>
    </x:row>
    <x:row r="92" ht="21.600000381469727" hidden="0" customHeight="1">
      <x:c r="A92" s="72" t="str">
        <x:v>S88</x:v>
      </x:c>
      <x:c r="B92" s="16" t="str">
        <x:v>AI芯片与先进封装</x:v>
      </x:c>
      <x:c r="C92" s="16" t="str">
        <x:v>J.P. Morgan CoWoS模型</x:v>
      </x:c>
      <x:c r="D92" s="16" t="str">
        <x:v>2026-04-22</x:v>
      </x:c>
      <x:c r="E92" s="16" t="str">
        <x:v>2023—2028E</x:v>
      </x:c>
      <x:c r="F92" s="16" t="str">
        <x:v>CoWoS产能、客户分配及GPU/ASIC出货量</x:v>
      </x:c>
      <x:c r="G92" s="16" t="str">
        <x:v>2026E行业CoWoS年末127千片/月；2027E 180千片/月</x:v>
      </x:c>
      <x:c r="H92" s="16" t="str">
        <x:v>千片/月 / 百万颗</x:v>
      </x:c>
      <x:c r="I92" s="16" t="str">
        <x:v>用户提供研究模型</x:v>
      </x:c>
      <x:c r="J92" s="16" t="str">
        <x:v>中</x:v>
      </x:c>
      <x:c r="K92" s="73" t="str">
        <x:v>G-JPM-COWOS-20260422</x:v>
      </x:c>
      <x:c r="L92" s="74" t="str">
        <x:v>/Users/huaxinai/Library/CloudStorage/Dropbox/华鑫证券/JP Morgan 2330@TT TSMC CoWoS Model(1).xlsx</x:v>
      </x:c>
      <x:c r="M92" s="16" t="str">
        <x:v>采用Cowos and other Capacity与CoWoS and other Allocation工作表；预测值用于供给侧校验，不视作公司公开指引</x:v>
      </x:c>
    </x:row>
    <x:row r="93" ht="21.600000381469727" hidden="0" customHeight="1">
      <x:c r="A93" s="72" t="str">
        <x:v>S89</x:v>
      </x:c>
      <x:c r="B93" s="16" t="str">
        <x:v>光模块反推</x:v>
      </x:c>
      <x:c r="C93" s="16" t="str">
        <x:v>全球高速光模块</x:v>
      </x:c>
      <x:c r="D93" s="16" t="str">
        <x:v>2026-04-01</x:v>
      </x:c>
      <x:c r="E93" s="16" t="str">
        <x:v>2025—2027E</x:v>
      </x:c>
      <x:c r="F93" s="16" t="str">
        <x:v>400G/800G/1.6T/3.2T出货量</x:v>
      </x:c>
      <x:c r="G93" s="16" t="str">
        <x:v>2026E合计8680万只；2027E合计1.435亿只</x:v>
      </x:c>
      <x:c r="H93" s="16" t="str">
        <x:v>万只</x:v>
      </x:c>
      <x:c r="I93" s="16" t="str">
        <x:v>用户提供研究模型</x:v>
      </x:c>
      <x:c r="J93" s="16" t="str">
        <x:v>中低</x:v>
      </x:c>
      <x:c r="K93" s="73" t="str">
        <x:v>G-OPTICAL-SUPPLY-20260401</x:v>
      </x:c>
      <x:c r="L93" s="74" t="str">
        <x:v>/Users/huaxinai/Library/CloudStorage/Dropbox/华鑫证券/光芯片供需 20260401（最新）(1).xlsx</x:v>
      </x:c>
      <x:c r="M93" s="16" t="str">
        <x:v>2025—2027E用于外部区间校验；2028—2030E按加速器数量、拓扑、端口速率和CPO渗透率联合外推，不作为完全独立的第三组证明</x:v>
      </x:c>
    </x:row>
    <x:row r="94" ht="15" hidden="0" customHeight="1">
      <x:c r="A94" s="72" t="str">
        <x:v>S90</x:v>
      </x:c>
      <x:c r="B94" s="16" t="str">
        <x:v>光模块反推</x:v>
      </x:c>
      <x:c r="C94" s="16" t="str">
        <x:v>主要光模块厂商样本</x:v>
      </x:c>
      <x:c r="D94" s="16" t="str">
        <x:v>2026-04</x:v>
      </x:c>
      <x:c r="E94" s="16" t="str">
        <x:v>2025—2027E</x:v>
      </x:c>
      <x:c r="F94" s="16" t="str">
        <x:v>800G与1.6T公司出货模型</x:v>
      </x:c>
      <x:c r="G94" s="16" t="str">
        <x:v>公司样本验证1.6T占比快速提升</x:v>
      </x:c>
      <x:c r="H94" s="16" t="str">
        <x:v>万只</x:v>
      </x:c>
      <x:c r="I94" s="16" t="str">
        <x:v>用户提供研究模型</x:v>
      </x:c>
      <x:c r="J94" s="16" t="str">
        <x:v>中低</x:v>
      </x:c>
      <x:c r="K94" s="73" t="str">
        <x:v>G-OPTICAL-COMPANY-202604</x:v>
      </x:c>
      <x:c r="L94" s="74" t="str">
        <x:v>/Users/huaxinai/Library/CloudStorage/Dropbox/华鑫证券/【天恩】光模块模型_202604(1).xlsx</x:v>
      </x:c>
      <x:c r="M94" s="16" t="str">
        <x:v>公司级模型只用于验证速率结构和供给节奏，不直接外推全球总量</x:v>
      </x:c>
    </x:row>
    <x:row r="95" ht="21.600000381469727" hidden="0" customHeight="1">
      <x:c r="A95" s="72" t="str">
        <x:v>S91</x:v>
      </x:c>
      <x:c r="B95" s="16" t="str">
        <x:v>电力容量</x:v>
      </x:c>
      <x:c r="C95" s="16" t="str">
        <x:v>全球数据中心</x:v>
      </x:c>
      <x:c r="D95" s="16" t="str">
        <x:v>2026-06-02</x:v>
      </x:c>
      <x:c r="E95" s="16" t="str">
        <x:v>2025—2030E</x:v>
      </x:c>
      <x:c r="F95" s="16" t="str">
        <x:v>总数据中心与AI数据中心容量</x:v>
      </x:c>
      <x:c r="G95" s="16" t="str">
        <x:v>AI容量44GW增至180GW；总容量82GW增至244GW</x:v>
      </x:c>
      <x:c r="H95" s="16" t="str">
        <x:v>GW</x:v>
      </x:c>
      <x:c r="I95" s="16" t="str">
        <x:v>用户提供研究报告</x:v>
      </x:c>
      <x:c r="J95" s="16" t="str">
        <x:v>中</x:v>
      </x:c>
      <x:c r="K95" s="73" t="str">
        <x:v>G-DC-CAPACITY-CPU-REPORT-202606</x:v>
      </x:c>
      <x:c r="L95" s="74" t="str">
        <x:v>/Users/huaxinai/Library/CloudStorage/Dropbox/华鑫证券/02-常规工作/202606/02-6月路演/CPU报告-陈明璋-V6.pdf</x:v>
      </x:c>
      <x:c r="M95" s="16" t="str">
        <x:v>取PDF第13页图表作为自上而下容量路径；与芯片反推模型互相校准</x:v>
      </x:c>
    </x:row>
    <x:row r="96" ht="15" hidden="0" customHeight="1">
      <x:c r="A96" s="72" t="str">
        <x:v>S92</x:v>
      </x:c>
      <x:c r="B96" s="16" t="str">
        <x:v>电力容量</x:v>
      </x:c>
      <x:c r="C96" s="16" t="str">
        <x:v>NVIDIA GB200 NVL72</x:v>
      </x:c>
      <x:c r="D96" s="16" t="str">
        <x:v>2026-03</x:v>
      </x:c>
      <x:c r="E96" s="16" t="str">
        <x:v>产品规格</x:v>
      </x:c>
      <x:c r="F96" s="16" t="str">
        <x:v>机架功耗</x:v>
      </x:c>
      <x:c r="G96" s="16" t="str">
        <x:v>约120kW / 72颗GPU</x:v>
      </x:c>
      <x:c r="H96" s="16" t="str">
        <x:v>kW</x:v>
      </x:c>
      <x:c r="I96" s="16" t="str">
        <x:v>NVIDIA官方文档</x:v>
      </x:c>
      <x:c r="J96" s="16" t="str">
        <x:v>高</x:v>
      </x:c>
      <x:c r="K96" s="73" t="str">
        <x:v>G-NVDA-GB200-RACK-POWER</x:v>
      </x:c>
      <x:c r="L96" s="74" t="str">
        <x:v>https://docs.nvidia.com/dgx/dgxgb200-user-guide/hardware.html</x:v>
      </x:c>
      <x:c r="M96" s="16" t="str">
        <x:v>折合约1.67kW/GPU的整机架IT负载，是NVIDIA平均功率假设的上限锚点；设施容量另乘PUE</x:v>
      </x:c>
    </x:row>
    <x:row r="97" ht="21.600000381469727" hidden="0" customHeight="1">
      <x:c r="A97" s="72" t="str">
        <x:v>S93</x:v>
      </x:c>
      <x:c r="B97" s="16" t="str">
        <x:v>中国大厂资本开支</x:v>
      </x:c>
      <x:c r="C97" s="16" t="str">
        <x:v>字节跳动</x:v>
      </x:c>
      <x:c r="D97" s="16" t="str">
        <x:v>2021-09-14</x:v>
      </x:c>
      <x:c r="E97" s="16" t="str">
        <x:v>CY2021及之前</x:v>
      </x:c>
      <x:c r="F97" s="16" t="str">
        <x:v>数据中心投资规模排名</x:v>
      </x:c>
      <x:c r="G97" s="16" t="str">
        <x:v>三年内升至全球第七大超大规模数据中心支出方</x:v>
      </x:c>
      <x:c r="H97" s="16" t="str">
        <x:v>排名</x:v>
      </x:c>
      <x:c r="I97" s="16" t="str">
        <x:v>Synergy Research转述</x:v>
      </x:c>
      <x:c r="J97" s="16" t="str">
        <x:v>中</x:v>
      </x:c>
      <x:c r="K97" s="73" t="str">
        <x:v>G-BYTEDANCE-HISTORICAL-DC-SPEND</x:v>
      </x:c>
      <x:c r="L97" s="74" t="str">
        <x:v>https://www.computerweekly.com/news/252506671/TikToks-take-off-fuels-hyperscale-datacentre-spend-by-parent-company-ByteDance</x:v>
      </x:c>
      <x:c r="M97" s="16" t="str">
        <x:v>证明字节在生成式AI周期前已形成持续数据中心投入；2019—2023金额因无公司报表而采用研究回推</x:v>
      </x:c>
    </x:row>
    <x:row r="98" ht="21.600000381469727" hidden="0" customHeight="1">
      <x:c r="A98" s="72" t="str">
        <x:v>S94</x:v>
      </x:c>
      <x:c r="B98" s="16" t="str">
        <x:v>中国大厂资本开支</x:v>
      </x:c>
      <x:c r="C98" s="16" t="str">
        <x:v>字节跳动</x:v>
      </x:c>
      <x:c r="D98" s="16" t="str">
        <x:v>2024-12-30</x:v>
      </x:c>
      <x:c r="E98" s="16" t="str">
        <x:v>CY2024 / CY2025E</x:v>
      </x:c>
      <x:c r="F98" s="16" t="str">
        <x:v>资本开支研究估计</x:v>
      </x:c>
      <x:c r="G98" s="16" t="str">
        <x:v>2024年约800亿元；当时预计2025年约1600亿元</x:v>
      </x:c>
      <x:c r="H98" s="16" t="str">
        <x:v>亿元</x:v>
      </x:c>
      <x:c r="I98" s="16" t="str">
        <x:v>券商研究转述</x:v>
      </x:c>
      <x:c r="J98" s="16" t="str">
        <x:v>中低</x:v>
      </x:c>
      <x:c r="K98" s="73" t="str">
        <x:v>G-BYTEDANCE-CAPEX-2024</x:v>
      </x:c>
      <x:c r="L98" s="74" t="str">
        <x:v>https://www.scmp.com/tech/big-tech/article/3292770/bytedance-leads-chinas-big-tech-sector-capital-spending-us11-billion-2024</x:v>
      </x:c>
      <x:c r="M98" s="16" t="str">
        <x:v>2024年作为历史研究锚点；2025年采用后续约1500亿元的媒体调查口径，不沿用早期1600亿元预测</x:v>
      </x:c>
    </x:row>
    <x:row r="99" ht="21.600000381469727" hidden="0" customHeight="1">
      <x:c r="A99" s="72" t="str">
        <x:v>S95</x:v>
      </x:c>
      <x:c r="B99" s="16" t="str">
        <x:v>中国大厂资本开支</x:v>
      </x:c>
      <x:c r="C99" s="16" t="str">
        <x:v>字节跳动</x:v>
      </x:c>
      <x:c r="D99" s="16" t="str">
        <x:v>2026-05-11</x:v>
      </x:c>
      <x:c r="E99" s="16" t="str">
        <x:v>CY2025 / CY2026E</x:v>
      </x:c>
      <x:c r="F99" s="16" t="str">
        <x:v>AI基础设施资本开支</x:v>
      </x:c>
      <x:c r="G99" s="16" t="str">
        <x:v>2025年约1500亿元；2026年预算上调至约2000亿元</x:v>
      </x:c>
      <x:c r="H99" s="16" t="str">
        <x:v>亿元</x:v>
      </x:c>
      <x:c r="I99" s="16" t="str">
        <x:v>媒体调查</x:v>
      </x:c>
      <x:c r="J99" s="16" t="str">
        <x:v>中</x:v>
      </x:c>
      <x:c r="K99" s="73" t="str">
        <x:v>G-BYTEDANCE-CAPEX-2025-2026</x:v>
      </x:c>
      <x:c r="L99" s="74" t="str">
        <x:v>https://technode.com/2026/05/11/bytedance-boosts-ai-infrastructure-spending-by-25-to-28-billion-this-year/</x:v>
      </x:c>
      <x:c r="M99" s="16" t="str">
        <x:v>字节为未上市公司，数值均为研究估计而非审计财务报表；2027年继续按交付与融资约束做情景预测</x:v>
      </x:c>
    </x:row>
    <x:row r="100" ht="21.600000381469727" hidden="0" customHeight="1">
      <x:c r="A100" s="72" t="str">
        <x:v>S96</x:v>
      </x:c>
      <x:c r="B100" s="16" t="str">
        <x:v>AI应用回报</x:v>
      </x:c>
      <x:c r="C100" s="16" t="str">
        <x:v>J.P. Morgan Asset Management</x:v>
      </x:c>
      <x:c r="D100" s="16" t="str">
        <x:v>2026-01-01</x:v>
      </x:c>
      <x:c r="E100" s="16" t="str">
        <x:v>2022—2026</x:v>
      </x:c>
      <x:c r="F100" s="16" t="str">
        <x:v>AI利润、GPU租赁价格与经济折旧</x:v>
      </x:c>
      <x:c r="G100" s="16" t="str">
        <x:v>GPU/网络会计寿命约5—6年；3年经济寿命压力测试显著压低利润</x:v>
      </x:c>
      <x:c r="H100" s="16" t="str">
        <x:v>年 / %</x:v>
      </x:c>
      <x:c r="I100" s="16" t="str">
        <x:v>用户提供研究报告</x:v>
      </x:c>
      <x:c r="J100" s="16" t="str">
        <x:v>中高</x:v>
      </x:c>
      <x:c r="K100" s="73" t="str">
        <x:v>G-JPMAM-SMOTHERING-20260101</x:v>
      </x:c>
      <x:c r="L100" s="74" t="str">
        <x:v>/Users/huaxinai/Library/CloudStorage/Dropbox/华鑫证券/smothering-heights.pdf</x:v>
      </x:c>
      <x:c r="M100" s="16" t="str">
        <x:v>用于建立应用毛利对AI资产经济折旧的覆盖率；问卷ROI只作方向旁证</x:v>
      </x:c>
    </x:row>
    <x:row r="101" ht="32.400001525878906" hidden="0" customHeight="1">
      <x:c r="A101" s="72" t="str">
        <x:v>S97</x:v>
      </x:c>
      <x:c r="B101" s="16" t="str">
        <x:v>Token量价利</x:v>
      </x:c>
      <x:c r="C101" s="16" t="str">
        <x:v>Goldman Sachs</x:v>
      </x:c>
      <x:c r="D101" s="16" t="str">
        <x:v>2026-05-05</x:v>
      </x:c>
      <x:c r="E101" s="16" t="str">
        <x:v>2026—2040E</x:v>
      </x:c>
      <x:c r="F101" s="16" t="str">
        <x:v>全球Token需求、单位价格/成本与智能体任务ROI</x:v>
      </x:c>
      <x:c r="G101" s="16" t="str">
        <x:v>2030E全球处理Token约120千万亿/月；编程、客服、数据录入任务成本可量化</x:v>
      </x:c>
      <x:c r="H101" s="16" t="str">
        <x:v>千万亿Token/月 / 美元</x:v>
      </x:c>
      <x:c r="I101" s="16" t="str">
        <x:v>用户提供研究报告</x:v>
      </x:c>
      <x:c r="J101" s="16" t="str">
        <x:v>中高</x:v>
      </x:c>
      <x:c r="K101" s="73" t="str">
        <x:v>G-GS-AGENTIC-20260505</x:v>
      </x:c>
      <x:c r="L101" s="74" t="str">
        <x:v>/Users/huaxinai/Library/CloudStorage/Dropbox/华鑫证券/tmp_c39ab6c56b62167e14c0ba02f90f8e58e39c456c9e4c26a5.pdf</x:v>
      </x:c>
      <x:c r="M101" s="16" t="str">
        <x:v>将处理Token视为全球审慎下沿；报告中278千万亿/月对应2040年充分采用情景，不按2030年口径使用</x:v>
      </x:c>
    </x:row>
    <x:row r="102" ht="21.600000381469727" hidden="0" customHeight="1">
      <x:c r="A102" s="72" t="str">
        <x:v>S98</x:v>
      </x:c>
      <x:c r="B102" s="16" t="str">
        <x:v>Token需求结构</x:v>
      </x:c>
      <x:c r="C102" s="16" t="str">
        <x:v>J.P. Morgan China Internet &amp; AI</x:v>
      </x:c>
      <x:c r="D102" s="16" t="str">
        <x:v>2026-02-06</x:v>
      </x:c>
      <x:c r="E102" s="16" t="str">
        <x:v>2025—2030E</x:v>
      </x:c>
      <x:c r="F102" s="16" t="str">
        <x:v>中国对话、知识工作、生活智能体及多模态有效Token</x:v>
      </x:c>
      <x:c r="G102" s="16" t="str">
        <x:v>2030E中国有效Token约322千万亿/月；知识工作与多模态成为主要增量</x:v>
      </x:c>
      <x:c r="H102" s="16" t="str">
        <x:v>千万亿Token/月</x:v>
      </x:c>
      <x:c r="I102" s="16" t="str">
        <x:v>用户提供研究报告</x:v>
      </x:c>
      <x:c r="J102" s="16" t="str">
        <x:v>中</x:v>
      </x:c>
      <x:c r="K102" s="73" t="str">
        <x:v>G-JPM-CHINA-TOKEN-20260206</x:v>
      </x:c>
      <x:c r="L102" s="74" t="str">
        <x:v>/Users/huaxinai/Library/CloudStorage/Dropbox/华鑫证券/830f94af26601af4cc807c9ef7f5c65a.pdf</x:v>
      </x:c>
      <x:c r="M102" s="16" t="str">
        <x:v>原口径包含智能体循环、上下文/RAG及多模态等价Token；经算力等价归一后进入全球综合路径</x:v>
      </x:c>
    </x:row>
    <x:row r="103" ht="43.20000076293945" hidden="0" customHeight="1">
      <x:c r="A103" s="72" t="str">
        <x:v>S99</x:v>
      </x:c>
      <x:c r="B103" s="16" t="str">
        <x:v>工作场景采用</x:v>
      </x:c>
      <x:c r="C103" s="16" t="str">
        <x:v>Anthropic Economic Index</x:v>
      </x:c>
      <x:c r="D103" s="16" t="str">
        <x:v>2026-06-26</x:v>
      </x:c>
      <x:c r="E103" s="16" t="str">
        <x:v>2026年4—6月</x:v>
      </x:c>
      <x:c r="F103" s="16" t="str">
        <x:v>Claude真实使用场景与任务产出</x:v>
      </x:c>
      <x:c r="G103" s="16" t="str">
        <x:v>编码仍是主要工作用途；API和Claude Code更偏自动化，任务价值随计算投入上升</x:v>
      </x:c>
      <x:c r="H103" s="16" t="str">
        <x:v>使用结构 / 方向</x:v>
      </x:c>
      <x:c r="I103" s="16" t="str">
        <x:v>官方研究</x:v>
      </x:c>
      <x:c r="J103" s="16" t="str">
        <x:v>中高</x:v>
      </x:c>
      <x:c r="K103" s="73" t="str">
        <x:v>G-ANTHROPIC-ECONOMIC-INDEX-202606</x:v>
      </x:c>
      <x:c r="L103" s="74" t="str">
        <x:v>https://www.anthropic.com/research/economic-index-june-2026-report</x:v>
      </x:c>
      <x:c r="M103" s="16" t="str">
        <x:v>用于校准软件研发、研究分析和知识工作场景的当前商业化顺序，不直接外推全球采用率</x:v>
      </x:c>
    </x:row>
    <x:row r="104" ht="32.400001525878906" hidden="0" customHeight="1">
      <x:c r="A104" s="72" t="str">
        <x:v>S100</x:v>
      </x:c>
      <x:c r="B104" s="16" t="str">
        <x:v>工作场景采用</x:v>
      </x:c>
      <x:c r="C104" s="16" t="str">
        <x:v>OpenAI</x:v>
      </x:c>
      <x:c r="D104" s="16" t="str">
        <x:v>2025-12</x:v>
      </x:c>
      <x:c r="E104" s="16" t="str">
        <x:v>2025年企业使用</x:v>
      </x:c>
      <x:c r="F104" s="16" t="str">
        <x:v>企业API主要用例与使用深度</x:v>
      </x:c>
      <x:c r="G104" s="16" t="str">
        <x:v>客户服务与内容生成约占API活动20%；头部企业每席位消息量约为中位企业2倍</x:v>
      </x:c>
      <x:c r="H104" s="16" t="str">
        <x:v>使用占比 / 倍数</x:v>
      </x:c>
      <x:c r="I104" s="16" t="str">
        <x:v>官方研究</x:v>
      </x:c>
      <x:c r="J104" s="16" t="str">
        <x:v>中高</x:v>
      </x:c>
      <x:c r="K104" s="73" t="str">
        <x:v>G-OPENAI-ENTERPRISE-STATE-2025</x:v>
      </x:c>
      <x:c r="L104" s="74" t="str">
        <x:v>https://openai.com/business/guides-and-resources/the-state-of-enterprise-ai-2025-report/</x:v>
      </x:c>
      <x:c r="M104" s="16" t="str">
        <x:v>用于扩展文本客服、内容营销、数据分析和智能体流程场景；使用占比不等于收入占比</x:v>
      </x:c>
    </x:row>
    <x:row r="105" ht="32.400001525878906" hidden="0" customHeight="1">
      <x:c r="A105" s="72" t="str">
        <x:v>S101</x:v>
      </x:c>
      <x:c r="B105" s="16" t="str">
        <x:v>工作场景采用</x:v>
      </x:c>
      <x:c r="C105" s="16" t="str">
        <x:v>OpenAI Codex</x:v>
      </x:c>
      <x:c r="D105" s="16" t="str">
        <x:v>2026-06-02</x:v>
      </x:c>
      <x:c r="E105" s="16" t="str">
        <x:v>2026年当前</x:v>
      </x:c>
      <x:c r="F105" s="16" t="str">
        <x:v>知识工作使用结构</x:v>
      </x:c>
      <x:c r="G105" s="16" t="str">
        <x:v>知识工作者约占Codex用户20%；数据分析、研究和知识成果制作增长最快</x:v>
      </x:c>
      <x:c r="H105" s="16" t="str">
        <x:v>用户占比 / 方向</x:v>
      </x:c>
      <x:c r="I105" s="16" t="str">
        <x:v>官方</x:v>
      </x:c>
      <x:c r="J105" s="16" t="str">
        <x:v>中高</x:v>
      </x:c>
      <x:c r="K105" s="73" t="str">
        <x:v>G-OPENAI-CODEX-KNOWLEDGE-202606</x:v>
      </x:c>
      <x:c r="L105" s="74" t="str">
        <x:v>https://openai.com/index/codex-for-knowledge-work/</x:v>
      </x:c>
      <x:c r="M105" s="16" t="str">
        <x:v>用于校准搜索研究、数据分析、文档和企业协同场景的扩散；不把产品用户数直接换算为全球收入</x:v>
      </x:c>
    </x:row>
    <x:row r="106" ht="21.600000381469727" hidden="0" customHeight="1">
      <x:c r="A106" s="72" t="str">
        <x:v>S102</x:v>
      </x:c>
      <x:c r="B106" s="16" t="str">
        <x:v>Token定价</x:v>
      </x:c>
      <x:c r="C106" s="16" t="str">
        <x:v>OpenAI</x:v>
      </x:c>
      <x:c r="D106" s="16" t="str">
        <x:v>2026-07-30</x:v>
      </x:c>
      <x:c r="E106" s="16" t="str">
        <x:v>2026年8月当前</x:v>
      </x:c>
      <x:c r="F106" s="16" t="str">
        <x:v>GPT-5.6标准API价格</x:v>
      </x:c>
      <x:c r="G106" s="16" t="str">
        <x:v>Sol 5/30；Terra 2/12；Luna 0.2/1.2</x:v>
      </x:c>
      <x:c r="H106" s="16" t="str">
        <x:v>美元/百万输入Token / 输出Token</x:v>
      </x:c>
      <x:c r="I106" s="16" t="str">
        <x:v>公司官方定价与产品公告</x:v>
      </x:c>
      <x:c r="J106" s="16" t="str">
        <x:v>高</x:v>
      </x:c>
      <x:c r="K106" s="73" t="str">
        <x:v>G-OPENAI-API-PRICE-202608</x:v>
      </x:c>
      <x:c r="L106" s="74" t="str">
        <x:v>https://openai.com/index/building-abundant-intelligence/</x:v>
      </x:c>
      <x:c r="M106" s="16" t="str">
        <x:v>Terra与Luna取2026年7月30日降价后价格；缓存读取按未缓存输入价10%进入综合价格</x:v>
      </x:c>
    </x:row>
    <x:row r="107" ht="32.400001525878906" hidden="0" customHeight="1">
      <x:c r="A107" s="72" t="str">
        <x:v>S103</x:v>
      </x:c>
      <x:c r="B107" s="16" t="str">
        <x:v>Token定价</x:v>
      </x:c>
      <x:c r="C107" s="16" t="str">
        <x:v>Anthropic</x:v>
      </x:c>
      <x:c r="D107" s="16" t="str">
        <x:v>2026-06-30</x:v>
      </x:c>
      <x:c r="E107" s="16" t="str">
        <x:v>2026年8月当前</x:v>
      </x:c>
      <x:c r="F107" s="16" t="str">
        <x:v>Claude API价格</x:v>
      </x:c>
      <x:c r="G107" s="16" t="str">
        <x:v>Fable 5为10/50；Opus 5为5/25；Sonnet 5为2/10；Haiku 4.5为1/5</x:v>
      </x:c>
      <x:c r="H107" s="16" t="str">
        <x:v>美元/百万输入Token / 输出Token</x:v>
      </x:c>
      <x:c r="I107" s="16" t="str">
        <x:v>公司官方模型与发布文档</x:v>
      </x:c>
      <x:c r="J107" s="16" t="str">
        <x:v>高</x:v>
      </x:c>
      <x:c r="K107" s="73" t="str">
        <x:v>G-ANTHROPIC-API-PRICE-202608</x:v>
      </x:c>
      <x:c r="L107" s="74" t="str">
        <x:v>https://platform.claude.com/docs/en/about-claude/models/overview</x:v>
      </x:c>
      <x:c r="M107" s="16" t="str">
        <x:v>Fable 5是最新高能力旗舰，缓存读取1美元；Sonnet 5的2/10为截至2026年8月31日的首发价，标准价为3/15；其余缓存读取按基础输入价10%</x:v>
      </x:c>
    </x:row>
    <x:row r="108" ht="32.400001525878906" hidden="0" customHeight="1">
      <x:c r="A108" s="72" t="str">
        <x:v>S104</x:v>
      </x:c>
      <x:c r="B108" s="16" t="str">
        <x:v>Token定价</x:v>
      </x:c>
      <x:c r="C108" s="16" t="str">
        <x:v>Google Gemini</x:v>
      </x:c>
      <x:c r="D108" s="16" t="str">
        <x:v>2026-07-09</x:v>
      </x:c>
      <x:c r="E108" s="16" t="str">
        <x:v>2026年8月当前</x:v>
      </x:c>
      <x:c r="F108" s="16" t="str">
        <x:v>Gemini Developer API价格</x:v>
      </x:c>
      <x:c r="G108" s="16" t="str">
        <x:v>3.1 Pro为2/12；3.6 Flash为0.75/3.75；3.5 Flash-Lite为0.3/2.5</x:v>
      </x:c>
      <x:c r="H108" s="16" t="str">
        <x:v>美元/百万输入Token / 输出Token</x:v>
      </x:c>
      <x:c r="I108" s="16" t="str">
        <x:v>公司官方定价</x:v>
      </x:c>
      <x:c r="J108" s="16" t="str">
        <x:v>高</x:v>
      </x:c>
      <x:c r="K108" s="73" t="str">
        <x:v>G-GEMINI-API-PRICE-202608</x:v>
      </x:c>
      <x:c r="L108" s="74" t="str">
        <x:v>https://ai.google.dev/gemini-api/docs/pricing</x:v>
      </x:c>
      <x:c r="M108" s="16" t="str">
        <x:v>Pro取20万Token以内标准价；3.6 Flash取截至2026年末的当前价格；缓存读取按各模型官方价</x:v>
      </x:c>
    </x:row>
    <x:row r="109" ht="21.600000381469727" hidden="0" customHeight="1">
      <x:c r="A109" s="72" t="str">
        <x:v>S105</x:v>
      </x:c>
      <x:c r="B109" s="16" t="str">
        <x:v>Token定价</x:v>
      </x:c>
      <x:c r="C109" s="16" t="str">
        <x:v>SpaceXAI</x:v>
      </x:c>
      <x:c r="D109" s="16" t="str">
        <x:v>2026-07-17</x:v>
      </x:c>
      <x:c r="E109" s="16" t="str">
        <x:v>2026年8月当前</x:v>
      </x:c>
      <x:c r="F109" s="16" t="str">
        <x:v>Grok 4.5 API价格</x:v>
      </x:c>
      <x:c r="G109" s="16" t="str">
        <x:v>2/6</x:v>
      </x:c>
      <x:c r="H109" s="16" t="str">
        <x:v>美元/百万输入Token / 输出Token</x:v>
      </x:c>
      <x:c r="I109" s="16" t="str">
        <x:v>公司官方文档</x:v>
      </x:c>
      <x:c r="J109" s="16" t="str">
        <x:v>高</x:v>
      </x:c>
      <x:c r="K109" s="73" t="str">
        <x:v>G-XAI-API-PRICE-202608</x:v>
      </x:c>
      <x:c r="L109" s="74" t="str">
        <x:v>https://docs.x.ai/developers/grok-4-5</x:v>
      </x:c>
      <x:c r="M109" s="16" t="str">
        <x:v>公开页未列缓存输入折扣，综合价格中按普通输入价处理</x:v>
      </x:c>
    </x:row>
    <x:row r="110" ht="43.20000076293945" hidden="0" customHeight="1">
      <x:c r="A110" s="72" t="str">
        <x:v>S106</x:v>
      </x:c>
      <x:c r="B110" s="16" t="str">
        <x:v>Token定价</x:v>
      </x:c>
      <x:c r="C110" s="16" t="str">
        <x:v>DeepSeek</x:v>
      </x:c>
      <x:c r="D110" s="16" t="str">
        <x:v>2026-08-13</x:v>
      </x:c>
      <x:c r="E110" s="16" t="str">
        <x:v>2026年8月当前</x:v>
      </x:c>
      <x:c r="F110" s="16" t="str">
        <x:v>DeepSeek V4 Pro 0813与V4 Flash官方API价格</x:v>
      </x:c>
      <x:c r="G110" s="16" t="str">
        <x:v>Pro 0813峰时输入1.32、缓存输入0.044、输出3.96；Flash峰时输入0.44、缓存输入0.014、输出1.32</x:v>
      </x:c>
      <x:c r="H110" s="16" t="str">
        <x:v>美元/百万输入Token / 输出Token</x:v>
      </x:c>
      <x:c r="I110" s="16" t="str">
        <x:v>公司官方文档</x:v>
      </x:c>
      <x:c r="J110" s="16" t="str">
        <x:v>高</x:v>
      </x:c>
      <x:c r="K110" s="73" t="str">
        <x:v>G-DEEPSEEK-API-PRICE-202608</x:v>
      </x:c>
      <x:c r="L110" s="74" t="str">
        <x:v>https://api-docs.deepseek.com/quick_start/pricing/</x:v>
      </x:c>
      <x:c r="M110" s="16" t="str">
        <x:v>综合价格采用峰时价而非半价的非峰时价格，避免用调度优惠低估可实现收入</x:v>
      </x:c>
    </x:row>
    <x:row r="111" ht="32.400001525878906" hidden="0" customHeight="1">
      <x:c r="A111" s="72" t="str">
        <x:v>S107</x:v>
      </x:c>
      <x:c r="B111" s="16" t="str">
        <x:v>Token定价</x:v>
      </x:c>
      <x:c r="C111" s="16" t="str">
        <x:v>阿里云模型服务</x:v>
      </x:c>
      <x:c r="D111" s="16" t="str">
        <x:v>2026-07-15</x:v>
      </x:c>
      <x:c r="E111" s="16" t="str">
        <x:v>2026年8月当前</x:v>
      </x:c>
      <x:c r="F111" s="16" t="str">
        <x:v>Qwen闭源与开放权重模型托管价格</x:v>
      </x:c>
      <x:c r="G111" s="16" t="str">
        <x:v>Qwen3.7 Max全球区1.65/4.951；Qwen3 235B国际区0.23/0.92</x:v>
      </x:c>
      <x:c r="H111" s="16" t="str">
        <x:v>美元/百万输入Token / 输出Token</x:v>
      </x:c>
      <x:c r="I111" s="16" t="str">
        <x:v>云厂官方定价</x:v>
      </x:c>
      <x:c r="J111" s="16" t="str">
        <x:v>高</x:v>
      </x:c>
      <x:c r="K111" s="73" t="str">
        <x:v>G-QWEN-HOSTED-PRICE-202608</x:v>
      </x:c>
      <x:c r="L111" s="74" t="str">
        <x:v>https://www.alibabacloud.com/help/en/model-studio/model-pricing</x:v>
      </x:c>
      <x:c r="M111" s="16" t="str">
        <x:v>Max不采用限时日夜折扣；开放权重Qwen取阿里云托管推理价格，权重许可本身不按Token收费</x:v>
      </x:c>
    </x:row>
    <x:row r="112" ht="21.600000381469727" hidden="0" customHeight="1">
      <x:c r="A112" s="72" t="str">
        <x:v>S108</x:v>
      </x:c>
      <x:c r="B112" s="16" t="str">
        <x:v>Token定价</x:v>
      </x:c>
      <x:c r="C112" s="16" t="str">
        <x:v>Meta Llama / Google Cloud</x:v>
      </x:c>
      <x:c r="D112" s="16" t="str">
        <x:v>2026-08-18访问</x:v>
      </x:c>
      <x:c r="E112" s="16" t="str">
        <x:v>2026年8月当前</x:v>
      </x:c>
      <x:c r="F112" s="16" t="str">
        <x:v>Llama 4 Maverick托管推理价格</x:v>
      </x:c>
      <x:c r="G112" s="16" t="str">
        <x:v>0.35/1.15</x:v>
      </x:c>
      <x:c r="H112" s="16" t="str">
        <x:v>美元/百万输入Token / 输出Token</x:v>
      </x:c>
      <x:c r="I112" s="16" t="str">
        <x:v>一手云平台定价</x:v>
      </x:c>
      <x:c r="J112" s="16" t="str">
        <x:v>中高</x:v>
      </x:c>
      <x:c r="K112" s="73" t="str">
        <x:v>G-LLAMA-HOSTED-PRICE-202608</x:v>
      </x:c>
      <x:c r="L112" s="74" t="str">
        <x:v>https://cloud.google.com/vertex-ai/generative-ai/pricing</x:v>
      </x:c>
      <x:c r="M112" s="16" t="str">
        <x:v>开放权重模型没有统一API标价；使用Vertex AI托管价代表外部可计费推理，未列缓存折扣</x:v>
      </x:c>
    </x:row>
    <x:row r="113" ht="21.600000381469727" hidden="0" customHeight="1">
      <x:c r="A113" s="72" t="str">
        <x:v>S109</x:v>
      </x:c>
      <x:c r="B113" s="16" t="str">
        <x:v>Token定价</x:v>
      </x:c>
      <x:c r="C113" s="16" t="str">
        <x:v>Mistral</x:v>
      </x:c>
      <x:c r="D113" s="16" t="str">
        <x:v>2026-08-18访问</x:v>
      </x:c>
      <x:c r="E113" s="16" t="str">
        <x:v>2026年8月当前</x:v>
      </x:c>
      <x:c r="F113" s="16" t="str">
        <x:v>Mistral Large 3 API价格</x:v>
      </x:c>
      <x:c r="G113" s="16" t="str">
        <x:v>0.5/1.5</x:v>
      </x:c>
      <x:c r="H113" s="16" t="str">
        <x:v>美元/百万输入Token / 输出Token</x:v>
      </x:c>
      <x:c r="I113" s="16" t="str">
        <x:v>公司官方定价</x:v>
      </x:c>
      <x:c r="J113" s="16" t="str">
        <x:v>高</x:v>
      </x:c>
      <x:c r="K113" s="73" t="str">
        <x:v>G-MISTRAL-API-PRICE-202608</x:v>
      </x:c>
      <x:c r="L113" s="74" t="str">
        <x:v>https://mistral.ai/pricing/</x:v>
      </x:c>
      <x:c r="M113" s="16" t="str">
        <x:v>官方说明缓存输入最多降低90%、批处理降低50%；综合价格仅把缓存折扣纳入单模型标准化，批量和企业折扣在市场层统一处理</x:v>
      </x:c>
    </x:row>
    <x:row r="114" ht="32.400001525878906" hidden="0" customHeight="1">
      <x:c r="A114" s="72" t="str">
        <x:v>S110</x:v>
      </x:c>
      <x:c r="B114" s="16" t="str">
        <x:v>Token定价</x:v>
      </x:c>
      <x:c r="C114" s="16" t="str">
        <x:v>月之暗面 Kimi K3</x:v>
      </x:c>
      <x:c r="D114" s="16" t="str">
        <x:v>2026-07-28</x:v>
      </x:c>
      <x:c r="E114" s="16" t="str">
        <x:v>2026年8月当前</x:v>
      </x:c>
      <x:c r="F114" s="16" t="str">
        <x:v>Kimi K3官方API价格</x:v>
      </x:c>
      <x:c r="G114" s="16" t="str">
        <x:v>输入3、缓存输入0.3、输出15</x:v>
      </x:c>
      <x:c r="H114" s="16" t="str">
        <x:v>美元/百万Token</x:v>
      </x:c>
      <x:c r="I114" s="16" t="str">
        <x:v>公司官方代码库与API核验</x:v>
      </x:c>
      <x:c r="J114" s="16" t="str">
        <x:v>高</x:v>
      </x:c>
      <x:c r="K114" s="73" t="str">
        <x:v>G-KIMI-K3-PRICE-202607</x:v>
      </x:c>
      <x:c r="L114" s="74" t="str">
        <x:v>https://github.com/MoonshotAI/Kimi-K3/issues/11</x:v>
      </x:c>
      <x:c r="M114" s="16" t="str">
        <x:v>Kimi K3为开放权重模型；权重许可不按Token收费，表中采用月之暗面一方托管API价格代表外部可计费推理</x:v>
      </x:c>
    </x:row>
    <x:row r="115" ht="43.20000076293945" hidden="0" customHeight="1">
      <x:c r="A115" s="72" t="str">
        <x:v>S111</x:v>
      </x:c>
      <x:c r="B115" s="16" t="str">
        <x:v>Token定价</x:v>
      </x:c>
      <x:c r="C115" s="16" t="str">
        <x:v>智谱 GLM-5.2</x:v>
      </x:c>
      <x:c r="D115" s="16" t="str">
        <x:v>2026-06-16</x:v>
      </x:c>
      <x:c r="E115" s="16" t="str">
        <x:v>2026年8月当前</x:v>
      </x:c>
      <x:c r="F115" s="16" t="str">
        <x:v>GLM-5.2一方托管价格与Artificial Analysis评测</x:v>
      </x:c>
      <x:c r="G115" s="16" t="str">
        <x:v>输入1.4、缓存输入0.26、输出4.4；Artificial Analysis能力指数53、综合单任务价格约0.33</x:v>
      </x:c>
      <x:c r="H115" s="16" t="str">
        <x:v>美元/百万Token / 指数 / 美元/任务</x:v>
      </x:c>
      <x:c r="I115" s="16" t="str">
        <x:v>一方价格+独立评测</x:v>
      </x:c>
      <x:c r="J115" s="16" t="str">
        <x:v>中高</x:v>
      </x:c>
      <x:c r="K115" s="73" t="str">
        <x:v>G-GLM52-PRICE-AA-202606</x:v>
      </x:c>
      <x:c r="L115" s="74" t="str">
        <x:v>https://artificialanalysis.ai/articles/glm-5-2-is-the-new-leading-open-weights-model-on-the-artificial-analysis-intelligence-index/</x:v>
      </x:c>
      <x:c r="M115" s="16" t="str">
        <x:v>Artificial Analysis综合单任务价格包含输入、缓存读写、推理与答案Token；用于温和修正权重，不直接当作一般企业任务价格</x:v>
      </x:c>
    </x:row>
    <x:row r="116" ht="43.20000076293945" hidden="0" customHeight="1">
      <x:c r="A116" s="72" t="str">
        <x:v>S112</x:v>
      </x:c>
      <x:c r="B116" s="16" t="str">
        <x:v>Token定价</x:v>
      </x:c>
      <x:c r="C116" s="16" t="str">
        <x:v>MiniMax M3</x:v>
      </x:c>
      <x:c r="D116" s="16" t="str">
        <x:v>2026-06-01</x:v>
      </x:c>
      <x:c r="E116" s="16" t="str">
        <x:v>2026年8月当前</x:v>
      </x:c>
      <x:c r="F116" s="16" t="str">
        <x:v>MiniMax M3托管价格与Artificial Analysis评测</x:v>
      </x:c>
      <x:c r="G116" s="16" t="str">
        <x:v>输入0.3、缓存输入0.06、输出1.2；Artificial Analysis能力指数45、综合单任务价格约0.14</x:v>
      </x:c>
      <x:c r="H116" s="16" t="str">
        <x:v>美元/百万Token / 指数 / 美元/任务</x:v>
      </x:c>
      <x:c r="I116" s="16" t="str">
        <x:v>公司官方+独立评测</x:v>
      </x:c>
      <x:c r="J116" s="16" t="str">
        <x:v>中高</x:v>
      </x:c>
      <x:c r="K116" s="73" t="str">
        <x:v>G-MINIMAX-M3-PRICE-AA-202606</x:v>
      </x:c>
      <x:c r="L116" s="74" t="str">
        <x:v>https://artificialanalysis.ai/models/minimax-m3/</x:v>
      </x:c>
      <x:c r="M116" s="16" t="str">
        <x:v>采用标准上下文一方托管费率；长上下文和订阅套餐另行定价，不进入标准文本Token均价</x:v>
      </x:c>
    </x:row>
    <x:row r="117" ht="86.4000015258789" hidden="0" customHeight="1">
      <x:c r="A117" s="72" t="str">
        <x:v>S113</x:v>
      </x:c>
      <x:c r="B117" s="16" t="str">
        <x:v>模型能力与综合定价</x:v>
      </x:c>
      <x:c r="C117" s="16" t="str">
        <x:v>Artificial Analysis</x:v>
      </x:c>
      <x:c r="D117" s="16" t="str">
        <x:v>2026-08-18访问</x:v>
      </x:c>
      <x:c r="E117" s="16" t="str">
        <x:v>Artificial Analysis Intelligence Index v4.1.1及当期模型页</x:v>
      </x:c>
      <x:c r="F117" s="16" t="str">
        <x:v>前沿能力与综合单任务价格</x:v>
      </x:c>
      <x:c r="G117" s="16" t="str">
        <x:v>Opus 5为63/2.34；Fable 5为62/3.14；Sol为61/1.23；Kimi K3为60/0.84；Terra为57/0.51；Sonnet 5为55/1.72；DeepSeek V4 Pro 0813为53/0.25；GLM-5.2为53/0.33；Luna为52/0.05；Gemini 3.6 Flash为52/0.34；MiniMax M3为45/0.14</x:v>
      </x:c>
      <x:c r="H117" s="16" t="str">
        <x:v>指数 / 美元/评测任务</x:v>
      </x:c>
      <x:c r="I117" s="16" t="str">
        <x:v>独立评测</x:v>
      </x:c>
      <x:c r="J117" s="16" t="str">
        <x:v>中高</x:v>
      </x:c>
      <x:c r="K117" s="73" t="str">
        <x:v>G-AA-INTELLIGENCE-COST-20260818</x:v>
      </x:c>
      <x:c r="L117" s="74" t="str">
        <x:v>https://artificialanalysis.ai/leaderboards/models</x:v>
      </x:c>
      <x:c r="M117" s="16" t="str">
        <x:v>综合单任务价格对应Artificial Analysis的Cost per Intelligence Index task，按输入、缓存读写、推理与答案Token加总并按任务权重计算；所有进入权重的模型均按2026-08-18当前模型页与相应推理档位核对</x:v>
      </x:c>
    </x:row>
    <x:row r="118" ht="21.600000381469727" hidden="0" customHeight="1">
      <x:c r="A118" s="72" t="str">
        <x:v>S114</x:v>
      </x:c>
      <x:c r="B118" s="16" t="str">
        <x:v>模型跟踪</x:v>
      </x:c>
      <x:c r="C118" s="16" t="str">
        <x:v>智谱 GLM-5.3</x:v>
      </x:c>
      <x:c r="D118" s="16" t="str">
        <x:v>2026-08-14</x:v>
      </x:c>
      <x:c r="E118" s="16" t="str">
        <x:v>发布后、开放权重前</x:v>
      </x:c>
      <x:c r="F118" s="16" t="str">
        <x:v>安全能力与发布进度</x:v>
      </x:c>
      <x:c r="G118" s="16" t="str">
        <x:v>CyberGym 84.5%；模型权重延后两周发布</x:v>
      </x:c>
      <x:c r="H118" s="16" t="str">
        <x:v>测试得分 / 时间</x:v>
      </x:c>
      <x:c r="I118" s="16" t="str">
        <x:v>公司信息经媒体核验</x:v>
      </x:c>
      <x:c r="J118" s="16" t="str">
        <x:v>中</x:v>
      </x:c>
      <x:c r="K118" s="73" t="str">
        <x:v>G-GLM53-WATCH-202608</x:v>
      </x:c>
      <x:c r="L118" s="74" t="str">
        <x:v>https://www.axios.com/2026/08/14/china-open-source-ai-glm-53</x:v>
      </x:c>
      <x:c r="M118" s="16" t="str">
        <x:v>截至版本日尚无可与AA通用能力指数及一方标准API价格统一比较的数据，因此进入跟踪表但权重为0，不参与综合均价</x:v>
      </x:c>
    </x:row>
  </x:sheetData>
  <x:mergeCells>
    <x:mergeCell ref="A1:M1"/>
    <x:mergeCell ref="A2:M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36" hidden="0" customWidth="1"/>
    <x:col min="4" max="4" width="30" hidden="0" customWidth="1"/>
    <x:col min="5" max="5" width="4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1.600000381469727" hidden="0" customHeight="1">
      <x:c r="A1" s="3" t="str">
        <x:v>模型检查｜公式、口径与联动</x:v>
      </x:c>
      <x:c r="B1" s="3" t="str">
        <x:v>模型检查｜公式、口径与联动</x:v>
      </x:c>
      <x:c r="C1" s="3" t="str">
        <x:v>模型检查｜公式、口径与联动</x:v>
      </x:c>
      <x:c r="D1" s="3" t="str">
        <x:v>模型检查｜公式、口径与联动</x:v>
      </x:c>
      <x:c r="E1" s="3" t="str">
        <x:v>模型检查｜公式、口径与联动</x:v>
      </x:c>
      <x:c r="F1" s="3" t="str">
        <x:v>模型检查｜公式、口径与联动</x:v>
      </x:c>
      <x:c r="G1" s="3" t="str">
        <x:v>模型检查｜公式、口径与联动</x:v>
      </x:c>
      <x:c r="H1" s="3" t="str">
        <x:v>模型检查｜公式、口径与联动</x:v>
      </x:c>
    </x:row>
    <x:row r="2" ht="15" hidden="0" customHeight="1">
      <x:c r="A2" s="7" t="str">
        <x:v>所有硬性检查应为OK；本版新增网页Base基准回归检查，校验日期2026-08-22。</x:v>
      </x:c>
      <x:c r="B2" s="7" t="str">
        <x:v>所有硬性检查应为OK。低可信度研究假设不是公式错误，但必须在后续版本持续更新。</x:v>
      </x:c>
      <x:c r="C2" s="7" t="str">
        <x:v>所有硬性检查应为OK。低可信度研究假设不是公式错误，但必须在后续版本持续更新。</x:v>
      </x:c>
      <x:c r="D2" s="7" t="str">
        <x:v>所有硬性检查应为OK。低可信度研究假设不是公式错误，但必须在后续版本持续更新。</x:v>
      </x:c>
      <x:c r="E2" s="7" t="str">
        <x:v>所有硬性检查应为OK。低可信度研究假设不是公式错误，但必须在后续版本持续更新。</x:v>
      </x:c>
      <x:c r="F2" s="7" t="str">
        <x:v>所有硬性检查应为OK。低可信度研究假设不是公式错误，但必须在后续版本持续更新。</x:v>
      </x:c>
      <x:c r="G2" s="7" t="str">
        <x:v>所有硬性检查应为OK。低可信度研究假设不是公式错误，但必须在后续版本持续更新。</x:v>
      </x:c>
      <x:c r="H2" s="7" t="str">
        <x:v>所有硬性检查应为OK。低可信度研究假设不是公式错误，但必须在后续版本持续更新。</x:v>
      </x:c>
    </x:row>
    <x:row r="3" ht="15" hidden="0" customHeight="1">
      <x:c r="A3" s="92"/>
      <x:c r="B3" s="92"/>
      <x:c r="C3" s="92"/>
      <x:c r="D3" s="92"/>
      <x:c r="E3" s="92"/>
      <x:c r="F3" s="92"/>
      <x:c r="G3" s="92"/>
      <x:c r="H3" s="92"/>
    </x:row>
    <x:row r="4" ht="15" hidden="0" customHeight="1">
      <x:c r="A4" s="12" t="str">
        <x:v>检查项</x:v>
      </x:c>
      <x:c r="B4" s="12" t="str">
        <x:v>公式/阈值</x:v>
      </x:c>
      <x:c r="C4" s="12" t="str">
        <x:v>结果</x:v>
      </x:c>
      <x:c r="D4" s="12" t="str">
        <x:v>状态</x:v>
      </x:c>
      <x:c r="E4" s="12" t="str">
        <x:v>严重性</x:v>
      </x:c>
      <x:c r="F4" s="12" t="str">
        <x:v>对应工作表</x:v>
      </x:c>
      <x:c r="G4" s="12" t="str">
        <x:v>处理建议</x:v>
      </x:c>
      <x:c r="H4" s="12" t="str">
        <x:v>备注</x:v>
      </x:c>
    </x:row>
    <x:row r="5" ht="15" hidden="0" customHeight="1">
      <x:c r="A5" s="16" t="str">
        <x:v>AI基建投资分类加总</x:v>
      </x:c>
      <x:c r="B5" s="16" t="str">
        <x:v>总额=五类之和</x:v>
      </x:c>
      <x:c r="C5" s="16" t="n">
        <x:f>IF(ABS('AI基建投资'!F10-SUM('AI基建投资'!F5:F9))&lt;0.001,1,0)</x:f>
        <x:v>1</x:v>
      </x:c>
      <x:c r="D5" s="16" t="str">
        <x:f>IF(C5=1,"OK","检查")</x:f>
        <x:v>OK</x:v>
      </x:c>
      <x:c r="E5" s="16" t="str">
        <x:v>高</x:v>
      </x:c>
      <x:c r="F5" s="16" t="str">
        <x:v>AI基建投资</x:v>
      </x:c>
      <x:c r="G5" s="16" t="str">
        <x:v>检查分类公式</x:v>
      </x:c>
      <x:c r="H5" s="16" t="str"/>
    </x:row>
    <x:row r="6" ht="15" hidden="0" customHeight="1">
      <x:c r="A6" s="16" t="str">
        <x:v>Token工作负载加总</x:v>
      </x:c>
      <x:c r="B6" s="16" t="str">
        <x:v>2030E=300基准</x:v>
      </x:c>
      <x:c r="C6" s="16" t="n">
        <x:f>IF(ABS('Token量价利'!F9-SUM('Token量价利'!F5:F8))&lt;0.001,1,0)</x:f>
        <x:v>1</x:v>
      </x:c>
      <x:c r="D6" s="16" t="str">
        <x:f>IF(C6=1,"OK","检查")</x:f>
        <x:v>OK</x:v>
      </x:c>
      <x:c r="E6" s="16" t="str">
        <x:v>高</x:v>
      </x:c>
      <x:c r="F6" s="16" t="str">
        <x:v>Token量价利</x:v>
      </x:c>
      <x:c r="G6" s="16" t="str">
        <x:v>检查四类工作负载</x:v>
      </x:c>
      <x:c r="H6" s="16" t="str"/>
    </x:row>
    <x:row r="7" ht="64.80000305175781" hidden="0" customHeight="1">
      <x:c r="A7" s="16" t="str">
        <x:v>模型价格样本权重</x:v>
      </x:c>
      <x:c r="B7" s="16" t="str">
        <x:v>闭源与开放权重样本合计=100%</x:v>
      </x:c>
      <x:c r="C7" s="16" t="n">
        <x:f>IF(ABS('Token量价利'!L78-1)&lt;0.001,1,0)</x:f>
        <x:v>1</x:v>
      </x:c>
      <x:c r="D7" s="16" t="str">
        <x:f>IF(C7=1,"OK","检查")</x:f>
        <x:v>OK</x:v>
      </x:c>
      <x:c r="E7" s="16" t="str">
        <x:v>高</x:v>
      </x:c>
      <x:c r="F7" s="16" t="str">
        <x:v>Token量价利</x:v>
      </x:c>
      <x:c r="G7" s="16" t="str">
        <x:v>检查样本权重</x:v>
      </x:c>
      <x:c r="H7" s="16" t="str">
        <x:v>最终权重已包含Artificial Analysis能力/综合单任务价格的小弹性修正及2026E路线份额归一</x:v>
      </x:c>
    </x:row>
    <x:row r="8" ht="64.80000305175781" hidden="0" customHeight="1">
      <x:c r="A8" s="16" t="str">
        <x:v>综合实现价格公式</x:v>
      </x:c>
      <x:c r="B8" s="16" t="str">
        <x:v>标准化价格×能力/综合单任务价格修正权重×企业折扣</x:v>
      </x:c>
      <x:c r="C8" s="16" t="n">
        <x:f>IF(ABS('Token量价利'!B12-'Token量价利'!M79*(1-'Token量价利'!F51))&lt;0.001,1,0)</x:f>
        <x:v>1</x:v>
      </x:c>
      <x:c r="D8" s="16" t="str">
        <x:f>IF(C8=1,"OK","检查")</x:f>
        <x:v>OK</x:v>
      </x:c>
      <x:c r="E8" s="16" t="str">
        <x:v>高</x:v>
      </x:c>
      <x:c r="F8" s="16" t="str">
        <x:v>Token量价利</x:v>
      </x:c>
      <x:c r="G8" s="16" t="str">
        <x:v>检查模型定价桥</x:v>
      </x:c>
      <x:c r="H8" s="16" t="str">
        <x:v>输入/缓存/输出结构标准化后，用Artificial Analysis能力和综合单任务价格温和修正权重</x:v>
      </x:c>
    </x:row>
    <x:row r="9" ht="32.400001525878906" hidden="0" customHeight="1">
      <x:c r="A9" s="16" t="str">
        <x:v>开放权重价格路径</x:v>
      </x:c>
      <x:c r="B9" s="16" t="str">
        <x:v>2030E开放权重份额=48%且Base价格路径已联动</x:v>
      </x:c>
      <x:c r="C9" s="16" t="n">
        <x:f>IF(AND(ABS('Token量价利'!F31-0.8034104017895296)&lt;0.001,ABS('Token量价利'!F104-48%)&lt;0.001),1,0)</x:f>
        <x:v>1</x:v>
      </x:c>
      <x:c r="D9" s="16" t="str">
        <x:f>IF(C9=1,"OK","检查")</x:f>
        <x:v>OK</x:v>
      </x:c>
      <x:c r="E9" s="16" t="str">
        <x:v>高</x:v>
      </x:c>
      <x:c r="F9" s="16" t="str">
        <x:v>Token量价利</x:v>
      </x:c>
      <x:c r="G9" s="16" t="str">
        <x:v>检查路线份额和价格路径</x:v>
      </x:c>
      <x:c r="H9" s="16" t="str">
        <x:v>同路线价格下降与开放权重份额上升同时作用</x:v>
      </x:c>
    </x:row>
    <x:row r="10" ht="15" hidden="0" customHeight="1">
      <x:c r="A10" s="16" t="str">
        <x:v>Token收入公式</x:v>
      </x:c>
      <x:c r="B10" s="16" t="str">
        <x:v>可计费Token×价格×12×10</x:v>
      </x:c>
      <x:c r="C10" s="16" t="n">
        <x:f>IF(ABS('Token量价利'!F14-'Token量价利'!F11*'Token量价利'!F12*12*10)&lt;0.001,1,0)</x:f>
        <x:v>1</x:v>
      </x:c>
      <x:c r="D10" s="16" t="str">
        <x:f>IF(C10=1,"OK","检查")</x:f>
        <x:v>OK</x:v>
      </x:c>
      <x:c r="E10" s="16" t="str">
        <x:v>高</x:v>
      </x:c>
      <x:c r="F10" s="16" t="str">
        <x:v>Token量价利</x:v>
      </x:c>
      <x:c r="G10" s="16" t="str">
        <x:v>检查量价公式</x:v>
      </x:c>
      <x:c r="H10" s="16" t="str"/>
    </x:row>
    <x:row r="11" ht="43.20000076293945" hidden="0" customHeight="1">
      <x:c r="A11" s="16" t="str">
        <x:v>Token收入子集</x:v>
      </x:c>
      <x:c r="B11" s="16" t="str">
        <x:v>2026E—2030E每年Token收入&lt;=模型/API+云AI收入</x:v>
      </x:c>
      <x:c r="C11" s="16" t="n">
        <x:f>IF(AND('Token量价利'!B38&lt;='Token量价利'!B39,'Token量价利'!C38&lt;='Token量价利'!C39,'Token量价利'!D38&lt;='Token量价利'!D39,'Token量价利'!E38&lt;='Token量价利'!E39,'Token量价利'!F38&lt;='Token量价利'!F39),1,0)</x:f>
        <x:v>1</x:v>
      </x:c>
      <x:c r="D11" s="16" t="str">
        <x:f>IF(C11=1,"OK","检查")</x:f>
        <x:v>OK</x:v>
      </x:c>
      <x:c r="E11" s="16" t="str">
        <x:v>高</x:v>
      </x:c>
      <x:c r="F11" s="16" t="str">
        <x:v>Token量价利</x:v>
      </x:c>
      <x:c r="G11" s="16" t="str">
        <x:v>检查收入桥</x:v>
      </x:c>
      <x:c r="H11" s="16" t="str">
        <x:v>极端参数下差额按原结构回填模型/API与云AI，Token收入不另加</x:v>
      </x:c>
    </x:row>
    <x:row r="12" ht="15" hidden="0" customHeight="1">
      <x:c r="A12" s="16" t="str">
        <x:v>工作流场景权重</x:v>
      </x:c>
      <x:c r="B12" s="16" t="str">
        <x:v>八类成本池权重=100%</x:v>
      </x:c>
      <x:c r="C12" s="16" t="n">
        <x:f>IF(ABS('工作流ROI'!B21-1)&lt;0.001,1,0)</x:f>
        <x:v>1</x:v>
      </x:c>
      <x:c r="D12" s="16" t="str">
        <x:f>IF(C12=1,"OK","检查")</x:f>
        <x:v>OK</x:v>
      </x:c>
      <x:c r="E12" s="16" t="str">
        <x:v>高</x:v>
      </x:c>
      <x:c r="F12" s="16" t="str">
        <x:v>工作流ROI</x:v>
      </x:c>
      <x:c r="G12" s="16" t="str">
        <x:v>检查场景权重</x:v>
      </x:c>
      <x:c r="H12" s="16" t="str"/>
    </x:row>
    <x:row r="13" ht="15" hidden="0" customHeight="1">
      <x:c r="A13" s="16" t="str">
        <x:v>工作流效率公式</x:v>
      </x:c>
      <x:c r="B13" s="16" t="str">
        <x:v>成本池×渗透×自动化×效率</x:v>
      </x:c>
      <x:c r="C13" s="16" t="n">
        <x:f>IF(ABS('工作流ROI'!F31-'工作流ROI'!B31*'工作流ROI'!C31*'工作流ROI'!D31*'工作流ROI'!E31)&lt;0.001,1,0)</x:f>
        <x:v>1</x:v>
      </x:c>
      <x:c r="D13" s="16" t="str">
        <x:f>IF(C13=1,"OK","检查")</x:f>
        <x:v>OK</x:v>
      </x:c>
      <x:c r="E13" s="16" t="str">
        <x:v>高</x:v>
      </x:c>
      <x:c r="F13" s="16" t="str">
        <x:v>工作流ROI</x:v>
      </x:c>
      <x:c r="G13" s="16" t="str">
        <x:v>检查效率桥</x:v>
      </x:c>
      <x:c r="H13" s="16" t="str"/>
    </x:row>
    <x:row r="14" ht="32.400001525878906" hidden="0" customHeight="1">
      <x:c r="A14" s="16" t="str">
        <x:v>AI外部费用去重</x:v>
      </x:c>
      <x:c r="B14" s="16" t="str">
        <x:v>效率费用率与供应商终端收入池孰低</x:v>
      </x:c>
      <x:c r="C14" s="16" t="n">
        <x:f>IF(ABS('工作流ROI'!H27-MIN('工作流ROI'!G27*'模型参数'!B24,SUM('AI应用回报'!F56:F60)))&lt;0.001,1,0)</x:f>
        <x:v>1</x:v>
      </x:c>
      <x:c r="D14" s="16" t="str">
        <x:f>IF(C14=1,"OK","检查")</x:f>
        <x:v>OK</x:v>
      </x:c>
      <x:c r="E14" s="16" t="str">
        <x:v>高</x:v>
      </x:c>
      <x:c r="F14" s="16" t="str">
        <x:v>工作流ROI</x:v>
      </x:c>
      <x:c r="G14" s="16" t="str">
        <x:v>检查外部费用公式与收入上限</x:v>
      </x:c>
      <x:c r="H14" s="16" t="str">
        <x:v>订阅/API、开放模型云部署、应用席位和外部服务费</x:v>
      </x:c>
    </x:row>
    <x:row r="15" ht="21.600000381469727" hidden="0" customHeight="1">
      <x:c r="A15" s="16" t="str">
        <x:v>企业效率净值</x:v>
      </x:c>
      <x:c r="B15" s="16" t="str">
        <x:v>扣费前效率−AI外部费用</x:v>
      </x:c>
      <x:c r="C15" s="16" t="n">
        <x:f>IF(ABS('工作流ROI'!I31-('工作流ROI'!G31-'工作流ROI'!H31))&lt;0.001,1,0)</x:f>
        <x:v>1</x:v>
      </x:c>
      <x:c r="D15" s="16" t="str">
        <x:f>IF(C15=1,"OK","检查")</x:f>
        <x:v>OK</x:v>
      </x:c>
      <x:c r="E15" s="16" t="str">
        <x:v>高</x:v>
      </x:c>
      <x:c r="F15" s="16" t="str">
        <x:v>工作流ROI</x:v>
      </x:c>
      <x:c r="G15" s="16" t="str">
        <x:v>检查效率去重</x:v>
      </x:c>
      <x:c r="H15" s="16" t="str">
        <x:v>只把净值加入广义回报</x:v>
      </x:c>
    </x:row>
    <x:row r="16" ht="21.600000381469727" hidden="0" customHeight="1">
      <x:c r="A16" s="16" t="str">
        <x:v>工作场景相关Token指数</x:v>
      </x:c>
      <x:c r="B16" s="16" t="str">
        <x:v>知识工作+50%多模态；2026E=1.0倍</x:v>
      </x:c>
      <x:c r="C16" s="16" t="n">
        <x:f>IF(AND(ABS('工作流ROI'!E42-3.8)&lt;0.001,ABS('工作流ROI'!F46-'工作流ROI'!E46/'工作流ROI'!E42)&lt;0.001),1,0)</x:f>
        <x:v>1</x:v>
      </x:c>
      <x:c r="D16" s="16" t="str">
        <x:f>IF(C16=1,"OK","检查")</x:f>
        <x:v>OK</x:v>
      </x:c>
      <x:c r="E16" s="16" t="str">
        <x:v>高</x:v>
      </x:c>
      <x:c r="F16" s="16" t="str">
        <x:v>工作流ROI</x:v>
      </x:c>
      <x:c r="G16" s="16" t="str">
        <x:v>检查指数定义与基期</x:v>
      </x:c>
      <x:c r="H16" s="16" t="str">
        <x:v>诊断项，不重复加计收入</x:v>
      </x:c>
    </x:row>
    <x:row r="17" ht="15" hidden="0" customHeight="1">
      <x:c r="A17" s="16" t="str">
        <x:v>应用生态收入加总</x:v>
      </x:c>
      <x:c r="B17" s="16" t="str">
        <x:v>总额=六类之和</x:v>
      </x:c>
      <x:c r="C17" s="16" t="n">
        <x:f>IF(ABS('AI应用回报'!F11-SUM('AI应用回报'!F5:F10))&lt;0.001,1,0)</x:f>
        <x:v>1</x:v>
      </x:c>
      <x:c r="D17" s="16" t="str">
        <x:f>IF(C17=1,"OK","检查")</x:f>
        <x:v>OK</x:v>
      </x:c>
      <x:c r="E17" s="16" t="str">
        <x:v>高</x:v>
      </x:c>
      <x:c r="F17" s="16" t="str">
        <x:v>AI应用回报</x:v>
      </x:c>
      <x:c r="G17" s="16" t="str">
        <x:v>检查六类收入</x:v>
      </x:c>
      <x:c r="H17" s="16" t="str"/>
    </x:row>
    <x:row r="18" ht="15" hidden="0" customHeight="1">
      <x:c r="A18" s="16" t="str">
        <x:v>终端收入去重</x:v>
      </x:c>
      <x:c r="B18" s="16" t="str">
        <x:v>终端收入&lt;=生态收入</x:v>
      </x:c>
      <x:c r="C18" s="16" t="n">
        <x:f>IF('AI应用回报'!F13&lt;='AI应用回报'!F11,1,0)</x:f>
        <x:v>1</x:v>
      </x:c>
      <x:c r="D18" s="16" t="str">
        <x:f>IF(C18=1,"OK","检查")</x:f>
        <x:v>OK</x:v>
      </x:c>
      <x:c r="E18" s="16" t="str">
        <x:v>高</x:v>
      </x:c>
      <x:c r="F18" s="16" t="str">
        <x:v>AI应用回报</x:v>
      </x:c>
      <x:c r="G18" s="16" t="str">
        <x:v>检查终端占比</x:v>
      </x:c>
      <x:c r="H18" s="16" t="str"/>
    </x:row>
    <x:row r="19" ht="15" hidden="0" customHeight="1">
      <x:c r="A19" s="16" t="str">
        <x:v>资产结构完整</x:v>
      </x:c>
      <x:c r="B19" s="16" t="str">
        <x:v>硬件网络+设施=100%</x:v>
      </x:c>
      <x:c r="C19" s="16" t="n">
        <x:f>IF(ABS('模型参数'!B20+'模型参数'!B22-1)&lt;0.001,1,0)</x:f>
        <x:v>1</x:v>
      </x:c>
      <x:c r="D19" s="16" t="str">
        <x:f>IF(C19=1,"OK","检查")</x:f>
        <x:v>OK</x:v>
      </x:c>
      <x:c r="E19" s="16" t="str">
        <x:v>高</x:v>
      </x:c>
      <x:c r="F19" s="16" t="str">
        <x:v>模型参数</x:v>
      </x:c>
      <x:c r="G19" s="16" t="str">
        <x:v>调整资产份额</x:v>
      </x:c>
      <x:c r="H19" s="16" t="str"/>
    </x:row>
    <x:row r="20" ht="21.600000381469727" hidden="0" customHeight="1">
      <x:c r="A20" s="16" t="str">
        <x:v>期初资产池</x:v>
      </x:c>
      <x:c r="B20" s="16" t="str">
        <x:v>2018—2021年仍在役净投资&gt;0</x:v>
      </x:c>
      <x:c r="C20" s="16" t="n">
        <x:f>IF(SUM('模型参数'!G5:G8)&gt;0,1,0)</x:f>
        <x:v>1</x:v>
      </x:c>
      <x:c r="D20" s="16" t="str">
        <x:f>IF(C20=1,"OK","检查")</x:f>
        <x:v>OK</x:v>
      </x:c>
      <x:c r="E20" s="16" t="str">
        <x:v>高</x:v>
      </x:c>
      <x:c r="F20" s="16" t="str">
        <x:v>模型参数</x:v>
      </x:c>
      <x:c r="G20" s="16" t="str">
        <x:v>补齐预测期经济折旧</x:v>
      </x:c>
      <x:c r="H20" s="16" t="str">
        <x:v>避免把2022年误当作AI资产形成起点</x:v>
      </x:c>
    </x:row>
    <x:row r="21" ht="21.600000381469727" hidden="0" customHeight="1">
      <x:c r="A21" s="16" t="str">
        <x:v>经济折旧为正</x:v>
      </x:c>
      <x:c r="B21" s="16" t="str">
        <x:v>2026E&gt;0</x:v>
      </x:c>
      <x:c r="C21" s="16" t="n">
        <x:f>IF('资本回收'!F9&gt;0,1,0)</x:f>
        <x:v>1</x:v>
      </x:c>
      <x:c r="D21" s="16" t="str">
        <x:f>IF(C21=1,"OK","检查")</x:f>
        <x:v>OK</x:v>
      </x:c>
      <x:c r="E21" s="16" t="str">
        <x:v>高</x:v>
      </x:c>
      <x:c r="F21" s="16" t="str">
        <x:v>资本回收</x:v>
      </x:c>
      <x:c r="G21" s="16" t="str">
        <x:v>检查寿命与资产份额</x:v>
      </x:c>
      <x:c r="H21" s="16" t="str"/>
    </x:row>
    <x:row r="22" ht="21.600000381469727" hidden="0" customHeight="1">
      <x:c r="A22" s="16" t="str">
        <x:v>阶段判断一致</x:v>
      </x:c>
      <x:c r="B22" s="16" t="str">
        <x:v>25%/75%/120%阈值均设±5pct过渡带；&gt;125%后按毛利/折旧</x:v>
      </x:c>
      <x:c r="C22" s="16" t="n">
        <x:f>IF(AND('总览'!K20='总览'!I20,'总览'!F20='资本回收'!J12,'总览'!G20='资本回收'!J10),1,0)</x:f>
        <x:v>1</x:v>
      </x:c>
      <x:c r="D22" s="16" t="str">
        <x:f>IF(C22=1,"OK","检查")</x:f>
        <x:v>OK</x:v>
      </x:c>
      <x:c r="E22" s="16" t="str">
        <x:v>高</x:v>
      </x:c>
      <x:c r="F22" s="16" t="str">
        <x:v>总览/资本回收</x:v>
      </x:c>
      <x:c r="G22" s="16" t="str">
        <x:v>检查阶段阈值与资本回收判定</x:v>
      </x:c>
      <x:c r="H22" s="16" t="str">
        <x:v>应用毛利/同年投资仅作旁证</x:v>
      </x:c>
    </x:row>
    <x:row r="23" ht="15" hidden="0" customHeight="1">
      <x:c r="A23" s="16" t="str">
        <x:v>广义经济回报恒等式</x:v>
      </x:c>
      <x:c r="B23" s="16" t="str">
        <x:v>AI产业贡献毛利＋企业内部效率净值</x:v>
      </x:c>
      <x:c r="C23" s="16" t="n">
        <x:f>IF(ABS('AI应用回报'!J17-('AI应用回报'!J15+'AI应用回报'!J16))&lt;0.001,1,0)</x:f>
        <x:v>1</x:v>
      </x:c>
      <x:c r="D23" s="16" t="str">
        <x:f>IF(C23=1,"OK","检查")</x:f>
        <x:v>OK</x:v>
      </x:c>
      <x:c r="E23" s="16" t="str">
        <x:v>高</x:v>
      </x:c>
      <x:c r="F23" s="16" t="str">
        <x:v>AI应用回报</x:v>
      </x:c>
      <x:c r="G23" s="16" t="str">
        <x:v>检查毛利与效率净值加总</x:v>
      </x:c>
      <x:c r="H23" s="16" t="str">
        <x:v>不把终端收入毛额与净节省直接相加</x:v>
      </x:c>
    </x:row>
    <x:row r="24" ht="21.600000381469727" hidden="0" customHeight="1">
      <x:c r="A24" s="16" t="str">
        <x:v>机构Token口径不相加</x:v>
      </x:c>
      <x:c r="B24" s="16" t="str">
        <x:v>本研究2030E&lt;两口径之和</x:v>
      </x:c>
      <x:c r="C24" s="16" t="n">
        <x:f>IF('Token量价利'!F9&lt;120+322.27,1,0)</x:f>
        <x:v>1</x:v>
      </x:c>
      <x:c r="D24" s="16" t="str">
        <x:f>IF(C24=1,"OK","检查")</x:f>
        <x:v>OK</x:v>
      </x:c>
      <x:c r="E24" s="16" t="str">
        <x:v>中</x:v>
      </x:c>
      <x:c r="F24" s="16" t="str">
        <x:v>口径映射</x:v>
      </x:c>
      <x:c r="G24" s="16" t="str">
        <x:v>保持统一归一化</x:v>
      </x:c>
      <x:c r="H24" s="16" t="str">
        <x:v>不是数学约束，是防重复检查</x:v>
      </x:c>
    </x:row>
    <x:row r="25" ht="15" hidden="0" customHeight="1">
      <x:c r="A25" s="29" t="str">
        <x:v>版本更新清单</x:v>
      </x:c>
      <x:c r="B25" s="29" t="str">
        <x:v>版本更新清单</x:v>
      </x:c>
      <x:c r="C25" s="29" t="str">
        <x:v>版本更新清单</x:v>
      </x:c>
      <x:c r="D25" s="29" t="str">
        <x:v>版本更新清单</x:v>
      </x:c>
      <x:c r="E25" s="29" t="str">
        <x:v>版本更新清单</x:v>
      </x:c>
      <x:c r="F25" s="29" t="str">
        <x:v>版本更新清单</x:v>
      </x:c>
      <x:c r="G25" s="29" t="str">
        <x:v>版本更新清单</x:v>
      </x:c>
      <x:c r="H25" s="29" t="str">
        <x:v>版本更新清单</x:v>
      </x:c>
    </x:row>
    <x:row r="26" ht="15" hidden="0" customHeight="1">
      <x:c r="A26" s="12" t="str">
        <x:v>项目</x:v>
      </x:c>
      <x:c r="B26" s="12" t="str">
        <x:v>更新频率</x:v>
      </x:c>
      <x:c r="C26" s="12" t="str">
        <x:v>触发数据</x:v>
      </x:c>
      <x:c r="D26" s="12" t="str">
        <x:v>同步模块</x:v>
      </x:c>
      <x:c r="E26" s="12" t="str">
        <x:v>当前重点</x:v>
      </x:c>
      <x:c r="F26" s="12" t="str"/>
      <x:c r="G26" s="12" t="str"/>
      <x:c r="H26" s="12" t="str"/>
    </x:row>
    <x:row r="27" ht="15" hidden="0" customHeight="1">
      <x:c r="A27" s="16" t="str">
        <x:v>有效Token与可计费比例</x:v>
      </x:c>
      <x:c r="B27" s="16" t="str">
        <x:v>月度/季度</x:v>
      </x:c>
      <x:c r="C27" s="16" t="str">
        <x:v>模型调用、云MaaS、企业内部使用</x:v>
      </x:c>
      <x:c r="D27" s="16" t="str">
        <x:v>Token量价利/应用回报</x:v>
      </x:c>
      <x:c r="E27" s="16" t="str">
        <x:v>防止把内部Token当收入</x:v>
      </x:c>
      <x:c r="F27" s="16" t="str"/>
      <x:c r="G27" s="16" t="str"/>
      <x:c r="H27" s="16" t="str"/>
    </x:row>
    <x:row r="28" ht="21.600000381469727" hidden="0" customHeight="1">
      <x:c r="A28" s="16" t="str">
        <x:v>Token价格与算力成本</x:v>
      </x:c>
      <x:c r="B28" s="16" t="str">
        <x:v>月度</x:v>
      </x:c>
      <x:c r="C28" s="16" t="str">
        <x:v>主流模型API价、缓存折扣、批量合同、GPU时价、推理效率</x:v>
      </x:c>
      <x:c r="D28" s="16" t="str">
        <x:v>Token量价利/应用回报/毛利</x:v>
      </x:c>
      <x:c r="E28" s="16" t="str">
        <x:v>重算综合实现价格并仅回写模型/API与云AI中的Token收入子集</x:v>
      </x:c>
      <x:c r="F28" s="16" t="str"/>
      <x:c r="G28" s="16" t="str"/>
      <x:c r="H28" s="16" t="str"/>
    </x:row>
    <x:row r="29" ht="15" hidden="0" customHeight="1">
      <x:c r="A29" s="16" t="str">
        <x:v>工作流生产采用</x:v>
      </x:c>
      <x:c r="B29" s="16" t="str">
        <x:v>季度</x:v>
      </x:c>
      <x:c r="C29" s="16" t="str">
        <x:v>企业席位、生产部署、任务完成率</x:v>
      </x:c>
      <x:c r="D29" s="16" t="str">
        <x:v>AI应用回报/内部效率</x:v>
      </x:c>
      <x:c r="E29" s="16" t="str">
        <x:v>区分试用与生产</x:v>
      </x:c>
      <x:c r="F29" s="16" t="str"/>
      <x:c r="G29" s="16" t="str"/>
      <x:c r="H29" s="16" t="str"/>
    </x:row>
    <x:row r="30" ht="15" hidden="0" customHeight="1">
      <x:c r="A30" s="16" t="str">
        <x:v>AI资产经济寿命</x:v>
      </x:c>
      <x:c r="B30" s="16" t="str">
        <x:v>半年</x:v>
      </x:c>
      <x:c r="C30" s="16" t="str">
        <x:v>GPU二手价、折旧政策、利用率</x:v>
      </x:c>
      <x:c r="D30" s="16" t="str">
        <x:v>资本回收</x:v>
      </x:c>
      <x:c r="E30" s="16" t="str">
        <x:v>校准资本消耗</x:v>
      </x:c>
      <x:c r="F30" s="16" t="str"/>
      <x:c r="G30" s="16" t="str"/>
      <x:c r="H30" s="16" t="str"/>
    </x:row>
    <x:row r="31" ht="15" hidden="0" customHeight="1">
      <x:c r="A31" s="16" t="str">
        <x:v>自由现金流与融资</x:v>
      </x:c>
      <x:c r="B31" s="16" t="str">
        <x:v>季度</x:v>
      </x:c>
      <x:c r="C31" s="16" t="str">
        <x:v>Neocloud现金流、租赁、预付款</x:v>
      </x:c>
      <x:c r="D31" s="16" t="str">
        <x:v>阶段判断</x:v>
      </x:c>
      <x:c r="E31" s="16" t="str">
        <x:v>资本回收代理之后的最终验证</x:v>
      </x:c>
      <x:c r="F31" s="16" t="str"/>
      <x:c r="G31" s="16" t="str"/>
      <x:c r="H31" s="16" t="str"/>
    </x:row>
    <x:row r="32" ht="15" hidden="0" customHeight="1">
      <x:c r="A32" s="16" t="str">
        <x:v>机构研究锚点</x:v>
      </x:c>
      <x:c r="B32" s="16" t="str">
        <x:v>报告更新时</x:v>
      </x:c>
      <x:c r="C32" s="16" t="str">
        <x:v>高盛/JPM及其他研究</x:v>
      </x:c>
      <x:c r="D32" s="16" t="str">
        <x:v>口径映射</x:v>
      </x:c>
      <x:c r="E32" s="16" t="str">
        <x:v>先归一化、再综合，不直接堆叠</x:v>
      </x:c>
      <x:c r="F32" s="16" t="str"/>
      <x:c r="G32" s="16" t="str"/>
      <x:c r="H32" s="16" t="str"/>
    </x:row>
    <x:row r="34" ht="15" hidden="0" customHeight="1">
      <x:c r="A34" s="113" t="str">
        <x:v>网页Base基准回归检查｜TotalModelDashboard（校验日：2026-08-22）</x:v>
      </x:c>
      <x:c r="B34" s="113"/>
      <x:c r="C34" s="113"/>
      <x:c r="D34" s="113"/>
      <x:c r="E34" s="113"/>
      <x:c r="F34" s="113"/>
      <x:c r="G34" s="113"/>
      <x:c r="H34" s="113"/>
    </x:row>
    <x:row r="35" ht="15" hidden="0" customHeight="1">
      <x:c r="A35" s="106" t="str">
        <x:v>检查项</x:v>
      </x:c>
      <x:c r="B35" s="106" t="str">
        <x:v>网页Base基准</x:v>
      </x:c>
      <x:c r="C35" s="106" t="str">
        <x:v>结果</x:v>
      </x:c>
      <x:c r="D35" s="106" t="str">
        <x:v>状态</x:v>
      </x:c>
      <x:c r="E35" s="106" t="str">
        <x:v>严重性</x:v>
      </x:c>
      <x:c r="F35" s="106" t="str">
        <x:v>对应工作表</x:v>
      </x:c>
      <x:c r="G35" s="106" t="str">
        <x:v>处理建议</x:v>
      </x:c>
      <x:c r="H35" s="106" t="str">
        <x:v>备注</x:v>
      </x:c>
    </x:row>
    <x:row r="36" ht="32.400001525878906" hidden="0" customHeight="1">
      <x:c r="A36" s="16" t="str">
        <x:v>2026E核心读数</x:v>
      </x:c>
      <x:c r="B36" s="16" t="str">
        <x:v>投资9109.897887；终端3118.767220；毛利1559.383610；广义2394.355610</x:v>
      </x:c>
      <x:c r="C36" s="16" t="n">
        <x:f>IF(AND(ABS('AI基建投资'!F10-9109.897887323943)&lt;0.001,ABS('AI应用回报'!F13-3118.7672200140705)&lt;0.001,ABS('AI应用回报'!F14-0.5)&lt;0.000000001,ABS('AI应用回报'!F15-1559.3836100070353)&lt;0.001,ABS('AI应用回报'!F17-2394.3556100070355)&lt;0.001),1,0)</x:f>
        <x:v>1</x:v>
      </x:c>
      <x:c r="D36" s="16" t="str">
        <x:f>IF(C36=1,"OK","检查")</x:f>
        <x:v>OK</x:v>
      </x:c>
      <x:c r="E36" s="16" t="str">
        <x:v>高</x:v>
      </x:c>
      <x:c r="F36" s="16" t="str">
        <x:v>总览/AI应用回报</x:v>
      </x:c>
      <x:c r="G36" s="16" t="str">
        <x:v>检查Base输出</x:v>
      </x:c>
      <x:c r="H36" s="16" t="str">
        <x:v>网页实时计算结果</x:v>
      </x:c>
    </x:row>
    <x:row r="37" ht="32.400001525878906" hidden="0" customHeight="1">
      <x:c r="A37" s="16" t="str">
        <x:v>2030E回报与资本回收</x:v>
      </x:c>
      <x:c r="B37" s="16" t="str">
        <x:v>毛利28453.313931；效率3840.287800；广义32293.601730；毛利/折旧2.041246513倍</x:v>
      </x:c>
      <x:c r="C37" s="16" t="n">
        <x:f>IF(AND(ABS('AI应用回报'!J15-28453.31393061534)&lt;0.001,ABS('AI应用回报'!J16-3840.2877996)&lt;0.001,ABS('AI应用回报'!J17-32293.60173021534)&lt;0.001,ABS('资本回收'!J10-2.0412465125855177)&lt;0.000000001),1,0)</x:f>
        <x:v>1</x:v>
      </x:c>
      <x:c r="D37" s="16" t="str">
        <x:f>IF(C37=1,"OK","检查")</x:f>
        <x:v>OK</x:v>
      </x:c>
      <x:c r="E37" s="16" t="str">
        <x:v>高</x:v>
      </x:c>
      <x:c r="F37" s="16" t="str">
        <x:v>AI应用回报/资本回收</x:v>
      </x:c>
      <x:c r="G37" s="16" t="str">
        <x:v>检查Base输出</x:v>
      </x:c>
      <x:c r="H37" s="16" t="str">
        <x:v>网页实时计算结果</x:v>
      </x:c>
    </x:row>
    <x:row r="38" ht="21.600000381469727" hidden="0" customHeight="1">
      <x:c r="A38" s="16" t="str">
        <x:v>2027E—2030E聚合毛利率</x:v>
      </x:c>
      <x:c r="B38" s="16" t="str">
        <x:v>53.909669% / 57.461920% / 60.507660% / 63.103743%</x:v>
      </x:c>
      <x:c r="C38" s="16" t="n">
        <x:f>IF(AND(ABS('AI应用回报'!G14-0.5390966935815703)&lt;0.000000001,ABS('AI应用回报'!H14-0.5746192035683531)&lt;0.000000001,ABS('AI应用回报'!I14-0.6050766025680274)&lt;0.000000001,ABS('AI应用回报'!J14-0.6310374348285742)&lt;0.000000001),1,0)</x:f>
        <x:v>1</x:v>
      </x:c>
      <x:c r="D38" s="16" t="str">
        <x:f>IF(C38=1,"OK","检查")</x:f>
        <x:v>OK</x:v>
      </x:c>
      <x:c r="E38" s="16" t="str">
        <x:v>高</x:v>
      </x:c>
      <x:c r="F38" s="16" t="str">
        <x:v>AI应用回报/口径映射</x:v>
      </x:c>
      <x:c r="G38" s="16" t="str">
        <x:v>检查六类毛利聚合</x:v>
      </x:c>
      <x:c r="H38" s="16" t="str">
        <x:v>网页六类业务分别测算</x:v>
      </x:c>
    </x:row>
    <x:row r="39" ht="21.600000381469727" hidden="0" customHeight="1">
      <x:c r="A39" s="16" t="str">
        <x:v>内部效率成本池</x:v>
      </x:c>
      <x:c r="B39" s="16" t="str">
        <x:v>80000 / 86000 / 93000 / 100500 / 108500亿美元</x:v>
      </x:c>
      <x:c r="C39" s="16" t="n">
        <x:f>IF(AND(ABS('工作流ROI'!B27-80000)&lt;0.001,ABS('工作流ROI'!B28-86000)&lt;0.001,ABS('工作流ROI'!B29-93000)&lt;0.001,ABS('工作流ROI'!B30-100500)&lt;0.001,ABS('工作流ROI'!B31-108500)&lt;0.001),1,0)</x:f>
        <x:v>1</x:v>
      </x:c>
      <x:c r="D39" s="16" t="str">
        <x:f>IF(C39=1,"OK","检查")</x:f>
        <x:v>OK</x:v>
      </x:c>
      <x:c r="E39" s="16" t="str">
        <x:v>高</x:v>
      </x:c>
      <x:c r="F39" s="16" t="str">
        <x:v>工作流ROI</x:v>
      </x:c>
      <x:c r="G39" s="16" t="str">
        <x:v>检查同口径成本池增长</x:v>
      </x:c>
      <x:c r="H39" s="16" t="str">
        <x:v>不重复扩大可影响范围</x:v>
      </x:c>
    </x:row>
    <x:row r="40" ht="21.600000381469727" hidden="0" customHeight="1">
      <x:c r="A40" s="16" t="str">
        <x:v>2024E—2030E逐年阶段</x:v>
      </x:c>
      <x:c r="B40" s="16" t="str">
        <x:v>过渡1/加速/加速/加速/过渡2/收敛/规模化</x:v>
      </x:c>
      <x:c r="C40" s="16" t="n">
        <x:f>IF(AND('总览'!I14="基础设施短缺期→AI应用加速放量期（过渡）",'总览'!I15="AI应用加速放量期",'总览'!I16="AI应用加速放量期",'总览'!I17="AI应用加速放量期",'总览'!I18="AI应用加速放量期→收入与投资收敛期（过渡）",'总览'!I19="收入与投资收敛期",'总览'!I20="规模化回报期"),1,0)</x:f>
        <x:v>1</x:v>
      </x:c>
      <x:c r="D40" s="16" t="str">
        <x:f>IF(C40=1,"OK","检查")</x:f>
        <x:v>OK</x:v>
      </x:c>
      <x:c r="E40" s="16" t="str">
        <x:v>高</x:v>
      </x:c>
      <x:c r="F40" s="16" t="str">
        <x:v>总览/资本回收</x:v>
      </x:c>
      <x:c r="G40" s="16" t="str">
        <x:v>检查逐年过渡带和&gt;125%判定</x:v>
      </x:c>
      <x:c r="H40" s="16" t="str">
        <x:v>与classifyIndustryStage逐年一致</x:v>
      </x:c>
    </x:row>
    <x:row r="41" ht="32.400001525878906" hidden="0" customHeight="1">
      <x:c r="A41" s="16" t="str">
        <x:v>终端计入率动态分配</x:v>
      </x:c>
      <x:c r="B41" s="16" t="str">
        <x:v>逐年六类合计=生态收入×终端率；各类不超过本类生态收入</x:v>
      </x:c>
      <x:c r="C41" s="16" t="n">
        <x:f>IF(AND(ABS('AI应用回报'!F63-'AI应用回报'!F11*'AI应用回报'!F12)&lt;0.001,ABS('AI应用回报'!G63-'AI应用回报'!G11*'AI应用回报'!G12)&lt;0.001,ABS('AI应用回报'!H63-'AI应用回报'!H11*'AI应用回报'!H12)&lt;0.001,ABS('AI应用回报'!I63-'AI应用回报'!I11*'AI应用回报'!I12)&lt;0.001,ABS('AI应用回报'!J63-'AI应用回报'!J11*'AI应用回报'!J12)&lt;0.001,'AI应用回报'!F56&lt;='AI应用回报'!F5+0.001,'AI应用回报'!F57&lt;='AI应用回报'!F6+0.001,'AI应用回报'!F58&lt;='AI应用回报'!F7+0.001,'AI应用回报'!F59&lt;='AI应用回报'!F8+0.001,'AI应用回报'!F60&lt;='AI应用回报'!F9+0.001,'AI应用回报'!F61&lt;='AI应用回报'!F10+0.001,'AI应用回报'!G56&lt;='AI应用回报'!G5+0.001,'AI应用回报'!G57&lt;='AI应用回报'!G6+0.001,'AI应用回报'!G58&lt;='AI应用回报'!G7+0.001,'AI应用回报'!G59&lt;='AI应用回报'!G8+0.001,'AI应用回报'!G60&lt;='AI应用回报'!G9+0.001,'AI应用回报'!G61&lt;='AI应用回报'!G10+0.001,'AI应用回报'!H56&lt;='AI应用回报'!H5+0.001,'AI应用回报'!H57&lt;='AI应用回报'!H6+0.001,'AI应用回报'!H58&lt;='AI应用回报'!H7+0.001,'AI应用回报'!H59&lt;='AI应用回报'!H8+0.001,'AI应用回报'!H60&lt;='AI应用回报'!H9+0.001,'AI应用回报'!H61&lt;='AI应用回报'!H10+0.001,'AI应用回报'!I56&lt;='AI应用回报'!I5+0.001,'AI应用回报'!I57&lt;='AI应用回报'!I6+0.001,'AI应用回报'!I58&lt;='AI应用回报'!I7+0.001,'AI应用回报'!I59&lt;='AI应用回报'!I8+0.001,'AI应用回报'!I60&lt;='AI应用回报'!I9+0.001,'AI应用回报'!I61&lt;='AI应用回报'!I10+0.001,'AI应用回报'!J56&lt;='AI应用回报'!J5+0.001,'AI应用回报'!J57&lt;='AI应用回报'!J6+0.001,'AI应用回报'!J58&lt;='AI应用回报'!J7+0.001,'AI应用回报'!J59&lt;='AI应用回报'!J8+0.001,'AI应用回报'!J60&lt;='AI应用回报'!J9+0.001,'AI应用回报'!J61&lt;='AI应用回报'!J10+0.001),1,0)</x:f>
        <x:v>1</x:v>
      </x:c>
      <x:c r="D41" s="16" t="str">
        <x:f>IF(C41=1,"OK","检查")</x:f>
        <x:v>OK</x:v>
      </x:c>
      <x:c r="E41" s="16" t="str">
        <x:v>高</x:v>
      </x:c>
      <x:c r="F41" s="16" t="str">
        <x:v>AI应用回报</x:v>
      </x:c>
      <x:c r="G41" s="16" t="str">
        <x:v>检查6轮waterfill</x:v>
      </x:c>
      <x:c r="H41" s="16" t="str">
        <x:v>参数B16变化时逐年类别权重与目标同步变化</x:v>
      </x:c>
    </x:row>
    <x:row r="42" ht="43.20000076293945" hidden="0" customHeight="1">
      <x:c r="A42" s="16" t="str">
        <x:v>毛利锚点与SUMPRODUCT</x:v>
      </x:c>
      <x:c r="B42" s="16" t="str">
        <x:v>逐年聚合毛利率及毛利=六类终端收入×类别毛利率；极端参数允许20%/88%夹限</x:v>
      </x:c>
      <x:c r="C42" s="16" t="n">
        <x:f>IF(AND(ABS('AI应用回报'!F15-SUMPRODUCT('AI应用回报'!F56:F61,'AI应用回报'!F67:F72))&lt;0.001,ABS('AI应用回报'!G15-SUMPRODUCT('AI应用回报'!G56:G61,'AI应用回报'!G67:G72))&lt;0.001,ABS('AI应用回报'!H15-SUMPRODUCT('AI应用回报'!H56:H61,'AI应用回报'!H67:H72))&lt;0.001,ABS('AI应用回报'!I15-SUMPRODUCT('AI应用回报'!I56:I61,'AI应用回报'!I67:I72))&lt;0.001,ABS('AI应用回报'!J15-SUMPRODUCT('AI应用回报'!J56:J61,'AI应用回报'!J67:J72))&lt;0.001),1,0)</x:f>
        <x:v>1</x:v>
      </x:c>
      <x:c r="D42" s="16" t="str">
        <x:f>IF(C42=1,"OK","检查")</x:f>
        <x:v>OK</x:v>
      </x:c>
      <x:c r="E42" s="16" t="str">
        <x:v>高</x:v>
      </x:c>
      <x:c r="F42" s="16" t="str">
        <x:v>AI应用回报</x:v>
      </x:c>
      <x:c r="G42" s="16" t="str">
        <x:v>检查类别毛利与聚合</x:v>
      </x:c>
      <x:c r="H42" s="16" t="str">
        <x:v>参数B17变化时六类毛利率统一平移并受20%—88%约束</x:v>
      </x:c>
    </x:row>
    <x:row r="43" ht="43.20000076293945" hidden="0" customHeight="1">
      <x:c r="A43" s="16" t="str">
        <x:v>Token成本动态传导</x:v>
      </x:c>
      <x:c r="B43" s="16" t="str">
        <x:v>模型/API灵敏度35%；云AI/MaaS灵敏度25%</x:v>
      </x:c>
      <x:c r="C43" s="16" t="n">
        <x:f>IF(AND(ABS('AI应用回报'!J67-MAX(0.2,MIN(0.88,'口径映射'!F29+('模型参数'!$B$17-SUMPRODUCT('AI应用回报'!$F$56:$F$61,'口径映射'!$B$29:$B$34)/MAX(0.01,'AI应用回报'!$F$63))+('Token量价利'!F16-'Token量价利'!F19)*0.35)))&lt;0.000000001,ABS('AI应用回报'!J69-MAX(0.2,MIN(0.88,'口径映射'!F31+('模型参数'!$B$17-SUMPRODUCT('AI应用回报'!$F$56:$F$61,'口径映射'!$B$29:$B$34)/MAX(0.01,'AI应用回报'!$F$63))+('Token量价利'!F16-'Token量价利'!F19)*0.25)))&lt;0.000000001),1,0)</x:f>
        <x:v>1</x:v>
      </x:c>
      <x:c r="D43" s="16" t="str">
        <x:f>IF(C43=1,"OK","检查")</x:f>
        <x:v>OK</x:v>
      </x:c>
      <x:c r="E43" s="16" t="str">
        <x:v>高</x:v>
      </x:c>
      <x:c r="F43" s="16" t="str">
        <x:v>Token量价利/AI应用回报</x:v>
      </x:c>
      <x:c r="G43" s="16" t="str">
        <x:v>检查单位毛利传导</x:v>
      </x:c>
      <x:c r="H43" s="16" t="str">
        <x:v>参数B14变化时仅模型/API与云AI类别受Token单位毛利变化影响</x:v>
      </x:c>
    </x:row>
  </x:sheetData>
  <x:mergeCells>
    <x:mergeCell ref="A1:H1"/>
    <x:mergeCell ref="A2:H2"/>
    <x:mergeCell ref="A25:H25"/>
    <x:mergeCell ref="A34:H34"/>
  </x:mergeCells>
  <x:conditionalFormatting sqref="D5:D24">
    <x:cfRule type="containsText" dxfId="2" priority="1" operator="containsText" text="OK"/>
    <x:cfRule type="containsText" dxfId="3" priority="2" operator="containsText" text="检查"/>
  </x:conditionalFormatting>
  <x:conditionalFormatting sqref="D36:D43">
    <x:cfRule type="containsText" dxfId="4" priority="3" operator="containsText" text="OK"/>
    <x:cfRule type="containsText" dxfId="5" priority="4" operator="containsText" text="检查"/>
  </x:conditionalFormatting>
  <x:pageMargins left="0.7" right="0.7" top="0.75" bottom="0.75" header="0.3" footer="0.3"/>
</x:worksheet>
</file>